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chemenu\"/>
    </mc:Choice>
  </mc:AlternateContent>
  <xr:revisionPtr revIDLastSave="0" documentId="13_ncr:1_{59D77E78-85C9-4042-B95F-875DC56763D6}" xr6:coauthVersionLast="47" xr6:coauthVersionMax="47" xr10:uidLastSave="{00000000-0000-0000-0000-000000000000}"/>
  <bookViews>
    <workbookView xWindow="-98" yWindow="-98" windowWidth="21795" windowHeight="12975" xr2:uid="{4F2E2CD5-E834-4004-9591-C1B34908C8B7}"/>
  </bookViews>
  <sheets>
    <sheet name="Start" sheetId="1" r:id="rId1"/>
    <sheet name="Annahmen" sheetId="2" r:id="rId2"/>
    <sheet name="Sales" sheetId="3" r:id="rId3"/>
    <sheet name="Kundenprojekte" sheetId="4" r:id="rId4"/>
    <sheet name="Entwicklung" sheetId="5" r:id="rId5"/>
    <sheet name="Finanzpla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  <c r="C22" i="1"/>
  <c r="C21" i="1"/>
  <c r="C20" i="1"/>
  <c r="C19" i="1"/>
  <c r="C18" i="1"/>
  <c r="C17" i="1"/>
  <c r="M18" i="6"/>
  <c r="L18" i="6"/>
  <c r="C18" i="6"/>
  <c r="B18" i="6"/>
  <c r="K18" i="6"/>
  <c r="J18" i="6"/>
  <c r="I18" i="6"/>
  <c r="H18" i="6"/>
  <c r="G18" i="6"/>
  <c r="F18" i="6"/>
  <c r="E18" i="6"/>
  <c r="D18" i="6"/>
  <c r="M17" i="6"/>
  <c r="M16" i="6"/>
  <c r="M15" i="6"/>
  <c r="M14" i="6"/>
  <c r="M13" i="6"/>
  <c r="M12" i="6"/>
  <c r="M11" i="6"/>
  <c r="M10" i="6"/>
  <c r="M9" i="6"/>
  <c r="M8" i="6"/>
  <c r="M7" i="6"/>
  <c r="L8" i="6"/>
  <c r="L9" i="6" s="1"/>
  <c r="L10" i="6" s="1"/>
  <c r="L11" i="6" s="1"/>
  <c r="L12" i="6" s="1"/>
  <c r="L13" i="6" s="1"/>
  <c r="L14" i="6" s="1"/>
  <c r="L15" i="6" s="1"/>
  <c r="L16" i="6" s="1"/>
  <c r="L17" i="6" s="1"/>
  <c r="L7" i="6"/>
  <c r="K17" i="6"/>
  <c r="K16" i="6"/>
  <c r="K15" i="6"/>
  <c r="K14" i="6"/>
  <c r="K13" i="6"/>
  <c r="K12" i="6"/>
  <c r="K11" i="6"/>
  <c r="K10" i="6"/>
  <c r="K9" i="6"/>
  <c r="K8" i="6"/>
  <c r="K7" i="6"/>
  <c r="J17" i="6"/>
  <c r="J16" i="6"/>
  <c r="J15" i="6"/>
  <c r="J14" i="6"/>
  <c r="J13" i="6"/>
  <c r="J12" i="6"/>
  <c r="J11" i="6"/>
  <c r="J10" i="6"/>
  <c r="J9" i="6"/>
  <c r="J8" i="6"/>
  <c r="J7" i="6"/>
  <c r="I17" i="6" a="1"/>
  <c r="I17" i="6" s="1"/>
  <c r="I16" i="6" a="1"/>
  <c r="I16" i="6" s="1"/>
  <c r="I15" i="6" a="1"/>
  <c r="I15" i="6" s="1"/>
  <c r="I14" i="6" a="1"/>
  <c r="I14" i="6" s="1"/>
  <c r="I13" i="6" a="1"/>
  <c r="I13" i="6" s="1"/>
  <c r="I12" i="6" a="1"/>
  <c r="I12" i="6" s="1"/>
  <c r="I11" i="6" a="1"/>
  <c r="I11" i="6" s="1"/>
  <c r="I10" i="6" a="1"/>
  <c r="I10" i="6" s="1"/>
  <c r="I9" i="6" a="1"/>
  <c r="I9" i="6" s="1"/>
  <c r="I8" i="6" a="1"/>
  <c r="I8" i="6" s="1"/>
  <c r="I7" i="6" a="1"/>
  <c r="I7" i="6" s="1"/>
  <c r="H17" i="6"/>
  <c r="H16" i="6"/>
  <c r="H15" i="6"/>
  <c r="H14" i="6"/>
  <c r="H13" i="6"/>
  <c r="H12" i="6"/>
  <c r="H11" i="6"/>
  <c r="H10" i="6"/>
  <c r="H9" i="6"/>
  <c r="H8" i="6"/>
  <c r="H7" i="6"/>
  <c r="G17" i="6"/>
  <c r="G16" i="6"/>
  <c r="G15" i="6"/>
  <c r="G14" i="6"/>
  <c r="G13" i="6"/>
  <c r="G12" i="6"/>
  <c r="G11" i="6"/>
  <c r="G10" i="6"/>
  <c r="G9" i="6"/>
  <c r="G8" i="6"/>
  <c r="G7" i="6"/>
  <c r="F17" i="6"/>
  <c r="F16" i="6"/>
  <c r="F15" i="6"/>
  <c r="F14" i="6"/>
  <c r="F13" i="6"/>
  <c r="F12" i="6"/>
  <c r="F11" i="6"/>
  <c r="F10" i="6"/>
  <c r="F9" i="6"/>
  <c r="F8" i="6"/>
  <c r="F7" i="6"/>
  <c r="E17" i="6"/>
  <c r="E16" i="6"/>
  <c r="E15" i="6"/>
  <c r="E14" i="6"/>
  <c r="E13" i="6"/>
  <c r="E12" i="6"/>
  <c r="E11" i="6"/>
  <c r="E10" i="6"/>
  <c r="E9" i="6"/>
  <c r="E8" i="6"/>
  <c r="E7" i="6"/>
  <c r="D17" i="6"/>
  <c r="C17" i="6" s="1"/>
  <c r="D16" i="6"/>
  <c r="C16" i="6" s="1"/>
  <c r="D15" i="6"/>
  <c r="C15" i="6" s="1"/>
  <c r="D14" i="6"/>
  <c r="C14" i="6" s="1"/>
  <c r="D13" i="6"/>
  <c r="C13" i="6" s="1"/>
  <c r="D12" i="6"/>
  <c r="C12" i="6" s="1"/>
  <c r="D11" i="6"/>
  <c r="C11" i="6" s="1"/>
  <c r="D10" i="6"/>
  <c r="C10" i="6" s="1"/>
  <c r="D9" i="6"/>
  <c r="C9" i="6" s="1"/>
  <c r="D8" i="6"/>
  <c r="C8" i="6" s="1"/>
  <c r="D7" i="6"/>
  <c r="C7" i="6" s="1"/>
  <c r="B17" i="6"/>
  <c r="B16" i="6"/>
  <c r="B15" i="6"/>
  <c r="B14" i="6"/>
  <c r="B13" i="6"/>
  <c r="B12" i="6"/>
  <c r="B11" i="6"/>
  <c r="B10" i="6"/>
  <c r="B9" i="6"/>
  <c r="B8" i="6"/>
  <c r="B7" i="6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N17" i="4"/>
  <c r="N16" i="4"/>
  <c r="N15" i="4"/>
  <c r="N14" i="4"/>
  <c r="N13" i="4"/>
  <c r="N12" i="4"/>
  <c r="N11" i="4"/>
  <c r="N10" i="4"/>
  <c r="N9" i="4"/>
  <c r="N8" i="4"/>
  <c r="N7" i="4"/>
  <c r="M17" i="4"/>
  <c r="M16" i="4"/>
  <c r="M15" i="4"/>
  <c r="M14" i="4"/>
  <c r="M13" i="4"/>
  <c r="M12" i="4"/>
  <c r="M11" i="4"/>
  <c r="M10" i="4"/>
  <c r="M9" i="4"/>
  <c r="M8" i="4"/>
  <c r="M7" i="4"/>
  <c r="L17" i="4"/>
  <c r="L16" i="4"/>
  <c r="L15" i="4"/>
  <c r="L14" i="4"/>
  <c r="L13" i="4"/>
  <c r="L12" i="4"/>
  <c r="L11" i="4"/>
  <c r="L10" i="4"/>
  <c r="L9" i="4"/>
  <c r="L8" i="4"/>
  <c r="L7" i="4"/>
  <c r="K17" i="4"/>
  <c r="K16" i="4"/>
  <c r="K15" i="4"/>
  <c r="K14" i="4"/>
  <c r="K13" i="4"/>
  <c r="K12" i="4"/>
  <c r="K11" i="4"/>
  <c r="K10" i="4"/>
  <c r="K9" i="4"/>
  <c r="K8" i="4"/>
  <c r="K7" i="4"/>
  <c r="J17" i="4"/>
  <c r="J16" i="4"/>
  <c r="J15" i="4"/>
  <c r="J14" i="4"/>
  <c r="J13" i="4"/>
  <c r="J12" i="4"/>
  <c r="J11" i="4"/>
  <c r="J10" i="4"/>
  <c r="J9" i="4"/>
  <c r="J8" i="4"/>
  <c r="J7" i="4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J6" i="6"/>
  <c r="I6" i="6" a="1"/>
  <c r="I6" i="6" s="1"/>
  <c r="H6" i="6"/>
  <c r="G6" i="6"/>
  <c r="E6" i="6"/>
  <c r="D6" i="6"/>
  <c r="C6" i="6" s="1"/>
  <c r="B6" i="6"/>
  <c r="M6" i="5"/>
  <c r="L6" i="5"/>
  <c r="K6" i="5"/>
  <c r="J6" i="5"/>
  <c r="N6" i="4"/>
  <c r="M6" i="4"/>
  <c r="L6" i="4"/>
  <c r="K6" i="4"/>
  <c r="J6" i="4"/>
  <c r="N6" i="3"/>
  <c r="K6" i="3"/>
  <c r="L6" i="3" s="1"/>
  <c r="M6" i="3" s="1"/>
  <c r="J6" i="3"/>
  <c r="H6" i="3"/>
  <c r="F6" i="6" l="1"/>
  <c r="K6" i="6" s="1"/>
  <c r="M6" i="6" l="1"/>
  <c r="L6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<sst xmlns="http://schemas.openxmlformats.org/spreadsheetml/2006/main" count="381" uniqueCount="234">
  <si>
    <t>CHEMENU  |  Unternehmenssteuerung 2026</t>
  </si>
  <si>
    <t>FIKTIVES TESTMODELL — Alle Unternehmen, Kunden, Personen, Beträge, Termine, Projekte und Kennzahlen dieser Arbeitsmappe sind frei erfunden. Keine echten Chemenu-Geschäftsdaten.</t>
  </si>
  <si>
    <t>Zweck: Stresstest eines Excel→TSV/LLM-Konverters mit mehreren Blättern, Zellformaten, Querbezügen und Formelfamilien.</t>
  </si>
  <si>
    <t>Blatt</t>
  </si>
  <si>
    <t>Inhalt</t>
  </si>
  <si>
    <t>Annahmen</t>
  </si>
  <si>
    <t>Preise, Kosten, Kapazität und Szenario</t>
  </si>
  <si>
    <t>Sales</t>
  </si>
  <si>
    <t>Fiktive Leads, Pipeline und Auftragswerte</t>
  </si>
  <si>
    <t>Kundenprojekte</t>
  </si>
  <si>
    <t>Liefertermine, Stunden und Deckungsbeiträge</t>
  </si>
  <si>
    <t>Entwicklung</t>
  </si>
  <si>
    <t>Roadmap, Sprint- und Fortschrittskennzahlen</t>
  </si>
  <si>
    <t>Finanzplan</t>
  </si>
  <si>
    <t>Monatliches Ergebnis und Liquiditätsmodell</t>
  </si>
  <si>
    <t>Planungsannahmen | 2026</t>
  </si>
  <si>
    <t>Fiktives Szenario · blau hinterlegte Eingaben · Formeln beziehen sich auf diese Zellen</t>
  </si>
  <si>
    <t>Treiber</t>
  </si>
  <si>
    <t>Wert</t>
  </si>
  <si>
    <t>Einheit</t>
  </si>
  <si>
    <t>Erläuterung</t>
  </si>
  <si>
    <t>Anfangsliquidität</t>
  </si>
  <si>
    <t>EUR</t>
  </si>
  <si>
    <t>Bestand zu Jahresbeginn</t>
  </si>
  <si>
    <t>Fixkosten / Monat</t>
  </si>
  <si>
    <t>Personal, Verwaltung und Vertrieb</t>
  </si>
  <si>
    <t>Cloudkosten / Nutzer / Monat</t>
  </si>
  <si>
    <t>Variable Infrastrukturkosten</t>
  </si>
  <si>
    <t>Interne Projektkosten / Stunde</t>
  </si>
  <si>
    <t>Variable Delivery-Kosten</t>
  </si>
  <si>
    <t>Produktivstunden / Person / Monat</t>
  </si>
  <si>
    <t>h</t>
  </si>
  <si>
    <t>Kapazitätsannahme</t>
  </si>
  <si>
    <t>Ziel-Bruttomarge</t>
  </si>
  <si>
    <t>%</t>
  </si>
  <si>
    <t>Steuerungsziel</t>
  </si>
  <si>
    <t>Umsatzsteuer</t>
  </si>
  <si>
    <t>Nur Referenzwert; Planung netto</t>
  </si>
  <si>
    <t>Szenariofaktor</t>
  </si>
  <si>
    <t>Faktor</t>
  </si>
  <si>
    <t>Nur im Formel-Labor</t>
  </si>
  <si>
    <t>Modellstichtag</t>
  </si>
  <si>
    <t>Datum</t>
  </si>
  <si>
    <t>Festes Datum statt volatiler HEUTE-Funktion</t>
  </si>
  <si>
    <t>Paket</t>
  </si>
  <si>
    <t>EUR/Nutzer/Monat</t>
  </si>
  <si>
    <t>Team</t>
  </si>
  <si>
    <t>Business</t>
  </si>
  <si>
    <t>Enterprise</t>
  </si>
  <si>
    <t>Phase</t>
  </si>
  <si>
    <t>Abschlusschance</t>
  </si>
  <si>
    <t>Recherche</t>
  </si>
  <si>
    <t>Qualifiziert</t>
  </si>
  <si>
    <t>Demo</t>
  </si>
  <si>
    <t>Verhandlung</t>
  </si>
  <si>
    <t>Gewonnen</t>
  </si>
  <si>
    <t>Sales | Pipeline &amp; Verträge</t>
  </si>
  <si>
    <t>24 fiktive Verkaufschancen · Preise und Abschlusschancen live aus Annahmen</t>
  </si>
  <si>
    <t>ID</t>
  </si>
  <si>
    <t>Kunde</t>
  </si>
  <si>
    <t>Segment</t>
  </si>
  <si>
    <t>Abschluss</t>
  </si>
  <si>
    <t>Nutzer</t>
  </si>
  <si>
    <t>Preis / Nutzer</t>
  </si>
  <si>
    <t>Monate</t>
  </si>
  <si>
    <t>Chance</t>
  </si>
  <si>
    <t>MRR €</t>
  </si>
  <si>
    <t>TCV €</t>
  </si>
  <si>
    <t>Gewichtet €</t>
  </si>
  <si>
    <t>Quartal</t>
  </si>
  <si>
    <t>CH-001</t>
  </si>
  <si>
    <t>Nordlicht AG</t>
  </si>
  <si>
    <t>Industrie</t>
  </si>
  <si>
    <t>CH-002</t>
  </si>
  <si>
    <t>Atlaswerke GmbH</t>
  </si>
  <si>
    <t>Finanzen</t>
  </si>
  <si>
    <t>CH-003</t>
  </si>
  <si>
    <t>Küstenlogistik SE</t>
  </si>
  <si>
    <t>Gesundheit</t>
  </si>
  <si>
    <t>CH-004</t>
  </si>
  <si>
    <t>Heidebank eG</t>
  </si>
  <si>
    <t>Dienstleistung</t>
  </si>
  <si>
    <t>CH-005</t>
  </si>
  <si>
    <t>Rheinkraft GmbH</t>
  </si>
  <si>
    <t>CH-006</t>
  </si>
  <si>
    <t>Bergstrom AG</t>
  </si>
  <si>
    <t>CH-007</t>
  </si>
  <si>
    <t>Seeblick Kliniken</t>
  </si>
  <si>
    <t>CH-008</t>
  </si>
  <si>
    <t>Hanse Maschinenbau</t>
  </si>
  <si>
    <t>CH-009</t>
  </si>
  <si>
    <t>Falken Digital</t>
  </si>
  <si>
    <t>CH-010</t>
  </si>
  <si>
    <t>Waldpfad Energie</t>
  </si>
  <si>
    <t>CH-011</t>
  </si>
  <si>
    <t>Kupferwerk GmbH</t>
  </si>
  <si>
    <t>CH-012</t>
  </si>
  <si>
    <t>Eichen Versicherung</t>
  </si>
  <si>
    <t>CH-013</t>
  </si>
  <si>
    <t>Ostwind Mobility</t>
  </si>
  <si>
    <t>CH-014</t>
  </si>
  <si>
    <t>Mosaik Bildung</t>
  </si>
  <si>
    <t>CH-015</t>
  </si>
  <si>
    <t>Brückenbau SE</t>
  </si>
  <si>
    <t>CH-016</t>
  </si>
  <si>
    <t>Elbe MedTech</t>
  </si>
  <si>
    <t>CH-017</t>
  </si>
  <si>
    <t>Talblick Immobilien</t>
  </si>
  <si>
    <t>CH-018</t>
  </si>
  <si>
    <t>Aurum Handel</t>
  </si>
  <si>
    <t>CH-019</t>
  </si>
  <si>
    <t>Roter Faden KG</t>
  </si>
  <si>
    <t>CH-020</t>
  </si>
  <si>
    <t>Polar Analytics</t>
  </si>
  <si>
    <t>CH-021</t>
  </si>
  <si>
    <t>Sonnenhof Gruppe</t>
  </si>
  <si>
    <t>CH-022</t>
  </si>
  <si>
    <t>Mittelpunkt eG</t>
  </si>
  <si>
    <t>CH-023</t>
  </si>
  <si>
    <t>Granit Systems</t>
  </si>
  <si>
    <t>CH-024</t>
  </si>
  <si>
    <t>Komet Consulting</t>
  </si>
  <si>
    <t>Kundenprojekte | Delivery</t>
  </si>
  <si>
    <t>12 fiktive Implementierungen · Projekt-DB und Terminstatus aus den Quelldaten</t>
  </si>
  <si>
    <t>Projekt</t>
  </si>
  <si>
    <t>Start</t>
  </si>
  <si>
    <t>Ende</t>
  </si>
  <si>
    <t>Leistung</t>
  </si>
  <si>
    <t>Plan h</t>
  </si>
  <si>
    <t>Ist h</t>
  </si>
  <si>
    <t>Festpreis €</t>
  </si>
  <si>
    <t>Owner</t>
  </si>
  <si>
    <t>Fortschritt</t>
  </si>
  <si>
    <t>Rest h</t>
  </si>
  <si>
    <t>DB €</t>
  </si>
  <si>
    <t>Abweichung h</t>
  </si>
  <si>
    <t>Terminstatus</t>
  </si>
  <si>
    <t>P-001</t>
  </si>
  <si>
    <t>Wissensmigration</t>
  </si>
  <si>
    <t>Lena Vogt</t>
  </si>
  <si>
    <t>P-002</t>
  </si>
  <si>
    <t>Pilot &amp; Enablement</t>
  </si>
  <si>
    <t>Arda Yilmaz</t>
  </si>
  <si>
    <t>P-003</t>
  </si>
  <si>
    <t>API-Integration</t>
  </si>
  <si>
    <t>Mia Sommer</t>
  </si>
  <si>
    <t>P-004</t>
  </si>
  <si>
    <t>Taxonomieaufbau</t>
  </si>
  <si>
    <t>Jonas Weber</t>
  </si>
  <si>
    <t>P-005</t>
  </si>
  <si>
    <t>P-006</t>
  </si>
  <si>
    <t>P-007</t>
  </si>
  <si>
    <t>P-008</t>
  </si>
  <si>
    <t>P-009</t>
  </si>
  <si>
    <t>P-010</t>
  </si>
  <si>
    <t>P-011</t>
  </si>
  <si>
    <t>P-012</t>
  </si>
  <si>
    <t>Entwicklung | Roadmap</t>
  </si>
  <si>
    <t>16 fiktive Entwicklungsaufgaben · Termine, Kapazität und Fortschritt</t>
  </si>
  <si>
    <t>Ticket</t>
  </si>
  <si>
    <t>Feature</t>
  </si>
  <si>
    <t>Bereich</t>
  </si>
  <si>
    <t>Priorität</t>
  </si>
  <si>
    <t>Zieltermin</t>
  </si>
  <si>
    <t>Status</t>
  </si>
  <si>
    <t>Verzug Tage</t>
  </si>
  <si>
    <t>Sprint</t>
  </si>
  <si>
    <t>DEV-001</t>
  </si>
  <si>
    <t>Quellenimport</t>
  </si>
  <si>
    <t>Plattform</t>
  </si>
  <si>
    <t>Hoch</t>
  </si>
  <si>
    <t>Fertig</t>
  </si>
  <si>
    <t>DEV-002</t>
  </si>
  <si>
    <t>Rollen &amp; Rechte</t>
  </si>
  <si>
    <t>UX</t>
  </si>
  <si>
    <t>Mittel</t>
  </si>
  <si>
    <t>In Arbeit</t>
  </si>
  <si>
    <t>DEV-003</t>
  </si>
  <si>
    <t>Dokumenten-Parsing</t>
  </si>
  <si>
    <t>Daten</t>
  </si>
  <si>
    <t>Niedrig</t>
  </si>
  <si>
    <t>Geplant</t>
  </si>
  <si>
    <t>DEV-004</t>
  </si>
  <si>
    <t>Semantische Suche</t>
  </si>
  <si>
    <t>KI</t>
  </si>
  <si>
    <t>DEV-005</t>
  </si>
  <si>
    <t>Quellenbelege</t>
  </si>
  <si>
    <t>DEV-006</t>
  </si>
  <si>
    <t>Feedback-Workflow</t>
  </si>
  <si>
    <t>DEV-007</t>
  </si>
  <si>
    <t>Mandantenisolierung</t>
  </si>
  <si>
    <t>DEV-008</t>
  </si>
  <si>
    <t>API-Schlüssel</t>
  </si>
  <si>
    <t>DEV-009</t>
  </si>
  <si>
    <t>Audit-Protokoll</t>
  </si>
  <si>
    <t>DEV-010</t>
  </si>
  <si>
    <t>Antwortbewertung</t>
  </si>
  <si>
    <t>DEV-011</t>
  </si>
  <si>
    <t>CSV-Connector</t>
  </si>
  <si>
    <t>DEV-012</t>
  </si>
  <si>
    <t>SSO-Anbindung</t>
  </si>
  <si>
    <t>DEV-013</t>
  </si>
  <si>
    <t>Wissensgraph</t>
  </si>
  <si>
    <t>DEV-014</t>
  </si>
  <si>
    <t>Admin-Dashboard</t>
  </si>
  <si>
    <t>DEV-015</t>
  </si>
  <si>
    <t>Mehrsprachigkeit</t>
  </si>
  <si>
    <t>DEV-016</t>
  </si>
  <si>
    <t>Performance-Tuning</t>
  </si>
  <si>
    <t>Finanzplan | Monatssteuerung</t>
  </si>
  <si>
    <t>2026 · Netto-Planung · Einzahlungen/Auszahlungen im Leistungsmonat (vereinfachtes Cash-Modell)</t>
  </si>
  <si>
    <t>Monat</t>
  </si>
  <si>
    <t>Aktive Nutzer</t>
  </si>
  <si>
    <t>ARR €</t>
  </si>
  <si>
    <t>Abo-Umsatz €</t>
  </si>
  <si>
    <t>Projekt-Umsatz €</t>
  </si>
  <si>
    <t>Gesamtumsatz €</t>
  </si>
  <si>
    <t>Cloudkosten €</t>
  </si>
  <si>
    <t>Fixkosten €</t>
  </si>
  <si>
    <t>Projektkosten €</t>
  </si>
  <si>
    <t>Gesamtkosten €</t>
  </si>
  <si>
    <t>EBIT €</t>
  </si>
  <si>
    <t>Liquidität €</t>
  </si>
  <si>
    <t>EBIT-Marge</t>
  </si>
  <si>
    <t>GESAMT / DEZ</t>
  </si>
  <si>
    <t>KENNZAHLEN 2026</t>
  </si>
  <si>
    <t>Gesamtumsatz</t>
  </si>
  <si>
    <t>EBIT</t>
  </si>
  <si>
    <t>Endliquidität</t>
  </si>
  <si>
    <t>Pipeline TCV</t>
  </si>
  <si>
    <t>Gewonnene Abschlüsse</t>
  </si>
  <si>
    <t>Projekt-Deckungsbeitrag</t>
  </si>
  <si>
    <t>Roadmap abgeschlossen</t>
  </si>
  <si>
    <t>UMSATZVERLAUF  |  Monatswerte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</si>
</sst>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mmm\ yyyy"/>
    <numFmt numFmtId="166" formatCode="0.0%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9"/>
      <color rgb="FFFFFFFF"/>
      <name val="Aptos Narrow"/>
      <family val="2"/>
      <scheme val="minor"/>
    </font>
    <font>
      <sz val="11"/>
      <color rgb="FF753F06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9"/>
      <color rgb="FF14283E"/>
      <name val="Aptos Narrow"/>
      <family val="2"/>
      <scheme val="minor"/>
    </font>
    <font>
      <sz val="11"/>
      <color rgb="FF53677B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4283E"/>
        <bgColor indexed="64"/>
      </patternFill>
    </fill>
    <fill>
      <patternFill patternType="solid">
        <fgColor rgb="FFFFF0D8"/>
        <bgColor indexed="64"/>
      </patternFill>
    </fill>
    <fill>
      <patternFill patternType="solid">
        <fgColor rgb="FF176B7A"/>
        <bgColor indexed="64"/>
      </patternFill>
    </fill>
    <fill>
      <patternFill patternType="solid">
        <fgColor rgb="FFEAF4F7"/>
        <bgColor indexed="64"/>
      </patternFill>
    </fill>
    <fill>
      <patternFill patternType="solid">
        <fgColor rgb="FFDCEC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4" borderId="0" xfId="0" applyFont="1" applyFill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0" fillId="5" borderId="0" xfId="0" applyFill="1"/>
    <xf numFmtId="9" fontId="0" fillId="5" borderId="0" xfId="0" applyNumberFormat="1" applyFill="1"/>
    <xf numFmtId="14" fontId="0" fillId="5" borderId="0" xfId="0" applyNumberFormat="1" applyFill="1"/>
    <xf numFmtId="14" fontId="0" fillId="0" borderId="0" xfId="0" applyNumberFormat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6" borderId="0" xfId="0" applyFont="1" applyFill="1"/>
    <xf numFmtId="164" fontId="1" fillId="6" borderId="0" xfId="0" applyNumberFormat="1" applyFont="1" applyFill="1"/>
    <xf numFmtId="166" fontId="1" fillId="6" borderId="0" xfId="0" applyNumberFormat="1" applyFont="1" applyFill="1"/>
    <xf numFmtId="164" fontId="1" fillId="0" borderId="0" xfId="0" applyNumberFormat="1" applyFont="1"/>
    <xf numFmtId="0" fontId="1" fillId="0" borderId="0" xfId="0" applyFont="1"/>
    <xf numFmtId="0" fontId="4" fillId="2" borderId="0" xfId="0" applyFont="1" applyFill="1"/>
  </cellXfs>
  <cellStyles count="1">
    <cellStyle name="Standard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4283E"/>
        </patternFill>
      </fill>
    </dxf>
    <dxf>
      <numFmt numFmtId="13" formatCode="0%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4283E"/>
        </patternFill>
      </fill>
    </dxf>
    <dxf>
      <numFmt numFmtId="164" formatCode="#,##0\ &quot;€&quot;"/>
    </dxf>
    <dxf>
      <numFmt numFmtId="13" formatCode="0%"/>
    </dxf>
    <dxf>
      <numFmt numFmtId="164" formatCode="#,##0\ &quot;€&quot;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4283E"/>
        </patternFill>
      </fill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3" formatCode="0%"/>
    </dxf>
    <dxf>
      <numFmt numFmtId="164" formatCode="#,##0\ &quot;€&quot;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Gesamtumsatz pro Monat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Finanzplan!$F$5</c:f>
              <c:strCache>
                <c:ptCount val="1"/>
                <c:pt idx="0">
                  <c:v>Gesamtumsatz €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Finanzplan!$A$6:$A$17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Finanzplan!$F$6:$F$17</c:f>
              <c:numCache>
                <c:formatCode>#,##0\ "€"</c:formatCode>
                <c:ptCount val="12"/>
                <c:pt idx="0">
                  <c:v>2322</c:v>
                </c:pt>
                <c:pt idx="1">
                  <c:v>20322</c:v>
                </c:pt>
                <c:pt idx="2">
                  <c:v>33298</c:v>
                </c:pt>
                <c:pt idx="3">
                  <c:v>40598</c:v>
                </c:pt>
                <c:pt idx="4">
                  <c:v>47898</c:v>
                </c:pt>
                <c:pt idx="5">
                  <c:v>81592</c:v>
                </c:pt>
                <c:pt idx="6">
                  <c:v>88892</c:v>
                </c:pt>
                <c:pt idx="7">
                  <c:v>96192</c:v>
                </c:pt>
                <c:pt idx="8">
                  <c:v>63644</c:v>
                </c:pt>
                <c:pt idx="9">
                  <c:v>70944</c:v>
                </c:pt>
                <c:pt idx="10">
                  <c:v>87274</c:v>
                </c:pt>
                <c:pt idx="11">
                  <c:v>110261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AD-4B4B-9F3A-FC310B03D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9402543"/>
        <c:axId val="1598852303"/>
      </c:lineChart>
      <c:dateAx>
        <c:axId val="1159402543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98852303"/>
        <c:crosses val="autoZero"/>
        <c:auto val="0"/>
        <c:lblOffset val="100"/>
        <c:baseTimeUnit val="months"/>
      </c:dateAx>
      <c:valAx>
        <c:axId val="159885230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59402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150812</xdr:rowOff>
    </xdr:from>
    <xdr:to>
      <xdr:col>8</xdr:col>
      <xdr:colOff>1587</xdr:colOff>
      <xdr:row>41</xdr:row>
      <xdr:rowOff>125413</xdr:rowOff>
    </xdr:to>
    <xdr:graphicFrame macro="">
      <xdr:nvGraphicFramePr>
        <xdr:cNvPr id="2" name="Umsatzverlauf 2026">
          <a:extLst>
            <a:ext uri="{FF2B5EF4-FFF2-40B4-BE49-F238E27FC236}">
              <a16:creationId xmlns:a16="http://schemas.microsoft.com/office/drawing/2014/main" id="{DB3AA6F3-6902-9815-4A2D-8320378654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2543C4-E9C4-494E-8078-3E4DF19AF3CC}" name="tblSales" displayName="tblSales" ref="A5:N29" totalsRowShown="0" headerRowDxfId="10">
  <autoFilter ref="A5:N29" xr:uid="{1C2543C4-E9C4-494E-8078-3E4DF19AF3CC}"/>
  <tableColumns count="14">
    <tableColumn id="1" xr3:uid="{D64C1E11-3F35-490D-9431-82A7787E0B58}" name="ID"/>
    <tableColumn id="2" xr3:uid="{01AAD8AA-0FB6-4C6F-800F-6CC7289B9F3C}" name="Kunde"/>
    <tableColumn id="3" xr3:uid="{0AA0F1B6-FFA8-4C89-8C29-66A0BD5535BD}" name="Segment"/>
    <tableColumn id="4" xr3:uid="{D86C6587-5B4E-4261-8BA7-B36BCDE80D54}" name="Paket"/>
    <tableColumn id="5" xr3:uid="{D0A920B5-441B-47F7-A497-4C919AB0ABEB}" name="Abschluss" dataDxfId="16"/>
    <tableColumn id="6" xr3:uid="{C6863C3B-2C54-4A9C-9964-F152661D8D6F}" name="Phase"/>
    <tableColumn id="7" xr3:uid="{B8181670-CACF-4D93-8D52-FE9DB47E14A7}" name="Nutzer"/>
    <tableColumn id="8" xr3:uid="{38DCE0B2-1632-404C-8769-729D02B6BFAC}" name="Preis / Nutzer" dataDxfId="15">
      <calculatedColumnFormula>IFERROR(_xlfn.XLOOKUP(D6,Annahmen!$F$6:$F$8,Annahmen!$G$6:$G$8),0)</calculatedColumnFormula>
    </tableColumn>
    <tableColumn id="9" xr3:uid="{76F3523C-33E4-44D1-8B24-145554F8422A}" name="Monate"/>
    <tableColumn id="10" xr3:uid="{44105668-FF9E-40A4-A7FE-91454643D0E7}" name="Chance" dataDxfId="14">
      <calculatedColumnFormula>IFERROR(_xlfn.XLOOKUP(F6,Annahmen!$I$6:$I$10,Annahmen!$J$6:$J$10),0)</calculatedColumnFormula>
    </tableColumn>
    <tableColumn id="11" xr3:uid="{1C2742BD-6E06-45FB-A864-34870C8E99EB}" name="MRR €" dataDxfId="13">
      <calculatedColumnFormula>G6*H6</calculatedColumnFormula>
    </tableColumn>
    <tableColumn id="12" xr3:uid="{3FB65698-F83D-4E8A-9774-0AA01EBDB7C8}" name="TCV €" dataDxfId="12">
      <calculatedColumnFormula>K6*I6</calculatedColumnFormula>
    </tableColumn>
    <tableColumn id="13" xr3:uid="{25076C4C-BEA5-43AD-858A-D233971A28E8}" name="Gewichtet €" dataDxfId="11">
      <calculatedColumnFormula>L6*J6</calculatedColumnFormula>
    </tableColumn>
    <tableColumn id="14" xr3:uid="{778A2A85-6AB0-45F4-B18F-D3D3961B835C}" name="Quartal">
      <calculatedColumnFormula>IF(E6="","","Q"&amp;ROUNDUP(MONTH(E6)/3,0))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F1C6F0-CB75-4F5E-9664-F55362B8AE0B}" name="tblProjekte" displayName="tblProjekte" ref="A5:N17" totalsRowShown="0" headerRowDxfId="4">
  <autoFilter ref="A5:N17" xr:uid="{1EF1C6F0-CB75-4F5E-9664-F55362B8AE0B}"/>
  <tableColumns count="14">
    <tableColumn id="1" xr3:uid="{D5E83476-C3EA-44B3-B8A2-1F1A42C693CB}" name="Projekt"/>
    <tableColumn id="2" xr3:uid="{2474EF81-1FD4-45AD-9F39-448C465A61FF}" name="Kunde"/>
    <tableColumn id="3" xr3:uid="{339DDDAF-8A6D-4AC7-B6D9-CBF05711D2E8}" name="Start" dataDxfId="9"/>
    <tableColumn id="4" xr3:uid="{28EBF531-934F-41A8-B9B1-0A5C51929C77}" name="Ende" dataDxfId="8"/>
    <tableColumn id="5" xr3:uid="{1FB10278-1644-4F29-940C-FAD7EC2D56DD}" name="Leistung"/>
    <tableColumn id="6" xr3:uid="{5437ED0F-C84A-4E66-9907-62AB5AC569C3}" name="Plan h"/>
    <tableColumn id="7" xr3:uid="{0DD2CA0C-5812-4804-8EB3-DEA537226430}" name="Ist h"/>
    <tableColumn id="8" xr3:uid="{92E5BB84-5317-42B4-9F27-3662C01EA5DC}" name="Festpreis €" dataDxfId="7"/>
    <tableColumn id="9" xr3:uid="{2352F70C-E228-4FE5-8D27-DDAE021D1A29}" name="Owner"/>
    <tableColumn id="10" xr3:uid="{1745E4CA-27E1-46F1-8076-15BA8EBEB7D5}" name="Fortschritt" dataDxfId="6">
      <calculatedColumnFormula>IFERROR(MIN(1,G6/F6),0)</calculatedColumnFormula>
    </tableColumn>
    <tableColumn id="11" xr3:uid="{388F028F-2824-4A70-886A-EAEF82CABFD6}" name="Rest h">
      <calculatedColumnFormula>MAX(0,F6-G6)</calculatedColumnFormula>
    </tableColumn>
    <tableColumn id="12" xr3:uid="{9218A154-E455-4FBF-99CF-CB43E873A793}" name="DB €" dataDxfId="5">
      <calculatedColumnFormula>H6-G6*Annahmen!$B$9</calculatedColumnFormula>
    </tableColumn>
    <tableColumn id="13" xr3:uid="{79CCA344-5DAA-4FB0-8D70-967A4D5A5548}" name="Abweichung h">
      <calculatedColumnFormula>G6-F6</calculatedColumnFormula>
    </tableColumn>
    <tableColumn id="14" xr3:uid="{F448B54B-5DA0-4DB5-904C-CEDDD066BEA8}" name="Terminstatus">
      <calculatedColumnFormula>IF(D6&lt;Annahmen!$B$14,IF(J6&gt;=1,"Abgeschlossen","Überfällig"),"Im Plan")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EC7E0A-CD70-4943-AE3C-06CBCCD44CA0}" name="tblRoadmap" displayName="tblRoadmap" ref="A5:M21" totalsRowShown="0" headerRowDxfId="0">
  <autoFilter ref="A5:M21" xr:uid="{3BEC7E0A-CD70-4943-AE3C-06CBCCD44CA0}"/>
  <tableColumns count="13">
    <tableColumn id="1" xr3:uid="{FA496041-F926-451B-A0F0-FE98662B14C5}" name="Ticket"/>
    <tableColumn id="2" xr3:uid="{A9E463E7-25D1-42EA-9B97-051515510044}" name="Feature"/>
    <tableColumn id="3" xr3:uid="{F9B51D3E-082B-4580-BED9-8354ABF2DE4F}" name="Bereich"/>
    <tableColumn id="4" xr3:uid="{24D9F295-E2E1-48BD-B149-20364F3D2EF3}" name="Priorität"/>
    <tableColumn id="5" xr3:uid="{D9A45069-BCA6-4B26-BA0C-B4AD340B35A9}" name="Start" dataDxfId="3"/>
    <tableColumn id="6" xr3:uid="{7E73DAB0-13BB-4636-804B-0E2E229B7F91}" name="Zieltermin" dataDxfId="2"/>
    <tableColumn id="7" xr3:uid="{C745E096-B1CE-4788-B63D-9C82353F3257}" name="Plan h"/>
    <tableColumn id="8" xr3:uid="{474B492B-A270-41BE-A761-62DDE52330F8}" name="Ist h"/>
    <tableColumn id="9" xr3:uid="{18B9C78D-EAB9-4BDE-AA76-9E621C5A87B8}" name="Status"/>
    <tableColumn id="10" xr3:uid="{BB235FEF-4A2C-4A7F-9007-1B4A13E222D4}" name="Rest h">
      <calculatedColumnFormula>MAX(0,G6-H6)</calculatedColumnFormula>
    </tableColumn>
    <tableColumn id="11" xr3:uid="{F40BCA79-13A0-44B5-82CF-2ABD9FA2E0FD}" name="Fortschritt" dataDxfId="1">
      <calculatedColumnFormula>IF(I6="Fertig",1,IFERROR(MIN(0.95,H6/G6),0))</calculatedColumnFormula>
    </tableColumn>
    <tableColumn id="12" xr3:uid="{DF610F11-1843-4F44-ACFF-35B633002158}" name="Verzug Tage">
      <calculatedColumnFormula>IF(I6="Fertig",0,MAX(0,Annahmen!$B$14-F6))</calculatedColumnFormula>
    </tableColumn>
    <tableColumn id="13" xr3:uid="{80F27B0A-42B0-411A-A3AD-072746F090E9}" name="Sprint">
      <calculatedColumnFormula>"S"&amp;ROUNDUP(WEEKNUM(E6,2)/2,0)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9C1B-ABDA-436C-B0B1-56CBDB53596E}">
  <dimension ref="B2:H25"/>
  <sheetViews>
    <sheetView tabSelected="1" topLeftCell="A3" workbookViewId="0">
      <selection activeCell="A14" sqref="A14:XFD14"/>
    </sheetView>
  </sheetViews>
  <sheetFormatPr baseColWidth="10" defaultRowHeight="14.5" x14ac:dyDescent="0.35"/>
  <cols>
    <col min="2" max="2" width="28.1796875" customWidth="1"/>
    <col min="3" max="3" width="60" customWidth="1"/>
    <col min="4" max="8" width="13.6328125" customWidth="1"/>
  </cols>
  <sheetData>
    <row r="2" spans="2:8" ht="24.5" x14ac:dyDescent="0.55000000000000004">
      <c r="B2" s="1" t="s">
        <v>0</v>
      </c>
      <c r="C2" s="1"/>
      <c r="D2" s="1"/>
      <c r="E2" s="1"/>
      <c r="F2" s="1"/>
      <c r="G2" s="1"/>
      <c r="H2" s="1"/>
    </row>
    <row r="4" spans="2:8" ht="30" customHeight="1" x14ac:dyDescent="0.35">
      <c r="B4" s="2" t="s">
        <v>1</v>
      </c>
      <c r="C4" s="2"/>
      <c r="D4" s="2"/>
      <c r="E4" s="2"/>
      <c r="F4" s="2"/>
      <c r="G4" s="2"/>
      <c r="H4" s="2"/>
    </row>
    <row r="5" spans="2:8" ht="30" customHeight="1" x14ac:dyDescent="0.35">
      <c r="B5" s="2"/>
      <c r="C5" s="2"/>
      <c r="D5" s="2"/>
      <c r="E5" s="2"/>
      <c r="F5" s="2"/>
      <c r="G5" s="2"/>
      <c r="H5" s="2"/>
    </row>
    <row r="6" spans="2:8" ht="34" customHeight="1" x14ac:dyDescent="0.35">
      <c r="B6" s="3" t="s">
        <v>2</v>
      </c>
      <c r="C6" s="3"/>
      <c r="D6" s="3"/>
      <c r="E6" s="3"/>
      <c r="F6" s="3"/>
      <c r="G6" s="3"/>
      <c r="H6" s="3"/>
    </row>
    <row r="8" spans="2:8" x14ac:dyDescent="0.35">
      <c r="B8" s="4" t="s">
        <v>3</v>
      </c>
      <c r="C8" s="4" t="s">
        <v>4</v>
      </c>
    </row>
    <row r="9" spans="2:8" x14ac:dyDescent="0.35">
      <c r="B9" t="s">
        <v>5</v>
      </c>
      <c r="C9" t="s">
        <v>6</v>
      </c>
    </row>
    <row r="10" spans="2:8" x14ac:dyDescent="0.35">
      <c r="B10" t="s">
        <v>7</v>
      </c>
      <c r="C10" t="s">
        <v>8</v>
      </c>
    </row>
    <row r="11" spans="2:8" x14ac:dyDescent="0.35">
      <c r="B11" t="s">
        <v>9</v>
      </c>
      <c r="C11" t="s">
        <v>10</v>
      </c>
    </row>
    <row r="12" spans="2:8" x14ac:dyDescent="0.35">
      <c r="B12" t="s">
        <v>11</v>
      </c>
      <c r="C12" t="s">
        <v>12</v>
      </c>
    </row>
    <row r="13" spans="2:8" x14ac:dyDescent="0.35">
      <c r="B13" t="s">
        <v>13</v>
      </c>
      <c r="C13" t="s">
        <v>14</v>
      </c>
    </row>
    <row r="16" spans="2:8" x14ac:dyDescent="0.35">
      <c r="B16" s="4" t="s">
        <v>225</v>
      </c>
      <c r="C16" s="4" t="s">
        <v>18</v>
      </c>
    </row>
    <row r="17" spans="2:8" x14ac:dyDescent="0.35">
      <c r="B17" t="s">
        <v>226</v>
      </c>
      <c r="C17" s="19">
        <f>Finanzplan!F18</f>
        <v>743237</v>
      </c>
    </row>
    <row r="18" spans="2:8" x14ac:dyDescent="0.35">
      <c r="B18" t="s">
        <v>227</v>
      </c>
      <c r="C18" s="19">
        <f>Finanzplan!K18</f>
        <v>225486</v>
      </c>
    </row>
    <row r="19" spans="2:8" x14ac:dyDescent="0.35">
      <c r="B19" t="s">
        <v>228</v>
      </c>
      <c r="C19" s="19">
        <f>Finanzplan!L18</f>
        <v>475486</v>
      </c>
    </row>
    <row r="20" spans="2:8" x14ac:dyDescent="0.35">
      <c r="B20" t="s">
        <v>229</v>
      </c>
      <c r="C20" s="19">
        <f>SUM(Sales!L6:L29)</f>
        <v>4400496</v>
      </c>
    </row>
    <row r="21" spans="2:8" x14ac:dyDescent="0.35">
      <c r="B21" t="s">
        <v>230</v>
      </c>
      <c r="C21" s="20">
        <f>COUNTIF(Sales!F6:F29,"Gewonnen")</f>
        <v>8</v>
      </c>
    </row>
    <row r="22" spans="2:8" x14ac:dyDescent="0.35">
      <c r="B22" t="s">
        <v>231</v>
      </c>
      <c r="C22" s="19">
        <f>SUM(Kundenprojekte!L6:L17)</f>
        <v>321760</v>
      </c>
    </row>
    <row r="23" spans="2:8" x14ac:dyDescent="0.35">
      <c r="B23" t="s">
        <v>232</v>
      </c>
      <c r="C23" s="20">
        <f>COUNTIF(Entwicklung!I6:I21,"Fertig")</f>
        <v>4</v>
      </c>
    </row>
    <row r="25" spans="2:8" x14ac:dyDescent="0.35">
      <c r="B25" s="21" t="s">
        <v>233</v>
      </c>
      <c r="C25" s="21"/>
      <c r="D25" s="21"/>
      <c r="E25" s="21"/>
      <c r="F25" s="21"/>
      <c r="G25" s="21"/>
      <c r="H25" s="21"/>
    </row>
  </sheetData>
  <mergeCells count="4">
    <mergeCell ref="B2:H2"/>
    <mergeCell ref="B4:H5"/>
    <mergeCell ref="B6:H6"/>
    <mergeCell ref="B25:H25"/>
  </mergeCells>
  <pageMargins left="0.7" right="0.7" top="0.78740157499999996" bottom="0.78740157499999996" header="0.3" footer="0.3"/>
  <headerFooter>
    <oddHeader>&amp;L&amp;"Aptos"&amp;10&amp;K000000 Vertraulich&amp;1#_x000D_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76E4-9FB3-4717-9ADD-DCD692E99929}">
  <dimension ref="A1:J32"/>
  <sheetViews>
    <sheetView workbookViewId="0"/>
  </sheetViews>
  <sheetFormatPr baseColWidth="10" defaultRowHeight="14.5" x14ac:dyDescent="0.35"/>
  <cols>
    <col min="1" max="1" width="40" customWidth="1"/>
    <col min="2" max="2" width="22.7265625" customWidth="1"/>
    <col min="3" max="3" width="6.7265625" bestFit="1" customWidth="1"/>
    <col min="4" max="4" width="48.1796875" customWidth="1"/>
    <col min="6" max="6" width="20" customWidth="1"/>
    <col min="7" max="7" width="26.36328125" customWidth="1"/>
    <col min="9" max="9" width="20" customWidth="1"/>
    <col min="10" max="10" width="24.54296875" customWidth="1"/>
  </cols>
  <sheetData>
    <row r="1" spans="1:10" ht="21" customHeight="1" x14ac:dyDescent="0.35"/>
    <row r="2" spans="1:10" ht="24.5" x14ac:dyDescent="0.55000000000000004">
      <c r="B2" s="5" t="s">
        <v>15</v>
      </c>
    </row>
    <row r="3" spans="1:10" ht="27" customHeight="1" x14ac:dyDescent="0.35">
      <c r="B3" s="6" t="s">
        <v>16</v>
      </c>
    </row>
    <row r="5" spans="1:10" x14ac:dyDescent="0.35">
      <c r="A5" s="7" t="s">
        <v>17</v>
      </c>
      <c r="B5" s="7" t="s">
        <v>18</v>
      </c>
      <c r="C5" s="7" t="s">
        <v>19</v>
      </c>
      <c r="D5" s="7" t="s">
        <v>20</v>
      </c>
      <c r="F5" s="4" t="s">
        <v>44</v>
      </c>
      <c r="G5" s="4" t="s">
        <v>45</v>
      </c>
      <c r="I5" s="4" t="s">
        <v>49</v>
      </c>
      <c r="J5" s="4" t="s">
        <v>50</v>
      </c>
    </row>
    <row r="6" spans="1:10" x14ac:dyDescent="0.35">
      <c r="A6" t="s">
        <v>21</v>
      </c>
      <c r="B6" s="8">
        <v>250000</v>
      </c>
      <c r="C6" t="s">
        <v>22</v>
      </c>
      <c r="D6" t="s">
        <v>23</v>
      </c>
      <c r="F6" t="s">
        <v>46</v>
      </c>
      <c r="G6" s="8">
        <v>79</v>
      </c>
      <c r="I6" t="s">
        <v>51</v>
      </c>
      <c r="J6" s="9">
        <v>0.1</v>
      </c>
    </row>
    <row r="7" spans="1:10" x14ac:dyDescent="0.35">
      <c r="A7" t="s">
        <v>24</v>
      </c>
      <c r="B7" s="8">
        <v>32000</v>
      </c>
      <c r="C7" t="s">
        <v>22</v>
      </c>
      <c r="D7" t="s">
        <v>25</v>
      </c>
      <c r="F7" t="s">
        <v>47</v>
      </c>
      <c r="G7" s="8">
        <v>129</v>
      </c>
      <c r="I7" t="s">
        <v>52</v>
      </c>
      <c r="J7" s="9">
        <v>0.25</v>
      </c>
    </row>
    <row r="8" spans="1:10" x14ac:dyDescent="0.35">
      <c r="A8" t="s">
        <v>26</v>
      </c>
      <c r="B8" s="8">
        <v>7</v>
      </c>
      <c r="C8" t="s">
        <v>22</v>
      </c>
      <c r="D8" t="s">
        <v>27</v>
      </c>
      <c r="F8" t="s">
        <v>48</v>
      </c>
      <c r="G8" s="8">
        <v>189</v>
      </c>
      <c r="I8" t="s">
        <v>53</v>
      </c>
      <c r="J8" s="9">
        <v>0.45</v>
      </c>
    </row>
    <row r="9" spans="1:10" x14ac:dyDescent="0.35">
      <c r="A9" t="s">
        <v>28</v>
      </c>
      <c r="B9" s="8">
        <v>65</v>
      </c>
      <c r="C9" t="s">
        <v>22</v>
      </c>
      <c r="D9" t="s">
        <v>29</v>
      </c>
      <c r="I9" t="s">
        <v>54</v>
      </c>
      <c r="J9" s="9">
        <v>0.7</v>
      </c>
    </row>
    <row r="10" spans="1:10" x14ac:dyDescent="0.35">
      <c r="A10" t="s">
        <v>30</v>
      </c>
      <c r="B10" s="8">
        <v>128</v>
      </c>
      <c r="C10" t="s">
        <v>31</v>
      </c>
      <c r="D10" t="s">
        <v>32</v>
      </c>
      <c r="I10" t="s">
        <v>55</v>
      </c>
      <c r="J10" s="9">
        <v>1</v>
      </c>
    </row>
    <row r="11" spans="1:10" x14ac:dyDescent="0.35">
      <c r="A11" t="s">
        <v>33</v>
      </c>
      <c r="B11" s="9">
        <v>0.7</v>
      </c>
      <c r="C11" t="s">
        <v>34</v>
      </c>
      <c r="D11" t="s">
        <v>35</v>
      </c>
    </row>
    <row r="12" spans="1:10" x14ac:dyDescent="0.35">
      <c r="A12" t="s">
        <v>36</v>
      </c>
      <c r="B12" s="9">
        <v>0.19</v>
      </c>
      <c r="C12" t="s">
        <v>34</v>
      </c>
      <c r="D12" t="s">
        <v>37</v>
      </c>
    </row>
    <row r="13" spans="1:10" x14ac:dyDescent="0.35">
      <c r="A13" t="s">
        <v>38</v>
      </c>
      <c r="B13" s="8">
        <v>1.08</v>
      </c>
      <c r="C13" t="s">
        <v>39</v>
      </c>
      <c r="D13" t="s">
        <v>40</v>
      </c>
    </row>
    <row r="14" spans="1:10" x14ac:dyDescent="0.35">
      <c r="A14" t="s">
        <v>41</v>
      </c>
      <c r="B14" s="10">
        <v>46304</v>
      </c>
      <c r="C14" t="s">
        <v>42</v>
      </c>
      <c r="D14" t="s">
        <v>43</v>
      </c>
    </row>
    <row r="15" spans="1:10" ht="21" customHeight="1" x14ac:dyDescent="0.35"/>
    <row r="16" spans="1:10" ht="21" customHeight="1" x14ac:dyDescent="0.35"/>
    <row r="17" ht="21" customHeight="1" x14ac:dyDescent="0.35"/>
    <row r="18" ht="21" customHeight="1" x14ac:dyDescent="0.35"/>
    <row r="19" ht="21" customHeight="1" x14ac:dyDescent="0.35"/>
    <row r="20" ht="21" customHeight="1" x14ac:dyDescent="0.35"/>
    <row r="21" ht="21" customHeight="1" x14ac:dyDescent="0.35"/>
    <row r="22" ht="21" customHeight="1" x14ac:dyDescent="0.35"/>
    <row r="23" ht="21" customHeight="1" x14ac:dyDescent="0.35"/>
    <row r="24" ht="21" customHeight="1" x14ac:dyDescent="0.35"/>
    <row r="25" ht="21" customHeight="1" x14ac:dyDescent="0.35"/>
    <row r="26" ht="21" customHeight="1" x14ac:dyDescent="0.35"/>
    <row r="27" ht="21" customHeight="1" x14ac:dyDescent="0.35"/>
    <row r="28" ht="21" customHeight="1" x14ac:dyDescent="0.35"/>
    <row r="29" ht="21" customHeight="1" x14ac:dyDescent="0.35"/>
    <row r="30" ht="21" customHeight="1" x14ac:dyDescent="0.35"/>
    <row r="31" ht="21" customHeight="1" x14ac:dyDescent="0.35"/>
    <row r="32" ht="21" customHeight="1" x14ac:dyDescent="0.35"/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1E57-CBB6-4DBD-BE0F-1F4955F9B4DD}">
  <dimension ref="A1:N32"/>
  <sheetViews>
    <sheetView topLeftCell="A18" workbookViewId="0"/>
  </sheetViews>
  <sheetFormatPr baseColWidth="10" defaultRowHeight="14.5" x14ac:dyDescent="0.35"/>
  <cols>
    <col min="1" max="1" width="16.36328125" customWidth="1"/>
    <col min="2" max="2" width="29.08984375" customWidth="1"/>
    <col min="3" max="4" width="20" customWidth="1"/>
    <col min="5" max="5" width="17.26953125" customWidth="1"/>
    <col min="6" max="6" width="19.08984375" customWidth="1"/>
    <col min="7" max="7" width="8.54296875" bestFit="1" customWidth="1"/>
    <col min="8" max="8" width="20" customWidth="1"/>
    <col min="9" max="9" width="9.26953125" bestFit="1" customWidth="1"/>
    <col min="10" max="10" width="9.54296875" bestFit="1" customWidth="1"/>
    <col min="11" max="13" width="20.90625" customWidth="1"/>
    <col min="14" max="14" width="9.26953125" bestFit="1" customWidth="1"/>
  </cols>
  <sheetData>
    <row r="1" spans="1:14" ht="21" customHeight="1" x14ac:dyDescent="0.35"/>
    <row r="2" spans="1:14" ht="24.5" x14ac:dyDescent="0.55000000000000004">
      <c r="B2" s="5" t="s">
        <v>56</v>
      </c>
    </row>
    <row r="3" spans="1:14" ht="27" customHeight="1" x14ac:dyDescent="0.35">
      <c r="B3" s="6" t="s">
        <v>57</v>
      </c>
    </row>
    <row r="5" spans="1:14" x14ac:dyDescent="0.35">
      <c r="A5" s="7" t="s">
        <v>58</v>
      </c>
      <c r="B5" s="7" t="s">
        <v>59</v>
      </c>
      <c r="C5" s="7" t="s">
        <v>60</v>
      </c>
      <c r="D5" s="7" t="s">
        <v>44</v>
      </c>
      <c r="E5" s="7" t="s">
        <v>61</v>
      </c>
      <c r="F5" s="7" t="s">
        <v>49</v>
      </c>
      <c r="G5" s="7" t="s">
        <v>62</v>
      </c>
      <c r="H5" s="7" t="s">
        <v>63</v>
      </c>
      <c r="I5" s="7" t="s">
        <v>64</v>
      </c>
      <c r="J5" s="7" t="s">
        <v>65</v>
      </c>
      <c r="K5" s="7" t="s">
        <v>66</v>
      </c>
      <c r="L5" s="7" t="s">
        <v>67</v>
      </c>
      <c r="M5" s="7" t="s">
        <v>68</v>
      </c>
      <c r="N5" s="7" t="s">
        <v>69</v>
      </c>
    </row>
    <row r="6" spans="1:14" x14ac:dyDescent="0.35">
      <c r="A6" t="s">
        <v>70</v>
      </c>
      <c r="B6" t="s">
        <v>71</v>
      </c>
      <c r="C6" t="s">
        <v>72</v>
      </c>
      <c r="D6" t="s">
        <v>47</v>
      </c>
      <c r="E6" s="11">
        <v>46030</v>
      </c>
      <c r="F6" t="s">
        <v>55</v>
      </c>
      <c r="G6">
        <v>18</v>
      </c>
      <c r="H6" s="12">
        <f>IFERROR(_xlfn.XLOOKUP(D6,Annahmen!$F$6:$F$8,Annahmen!$G$6:$G$8),0)</f>
        <v>129</v>
      </c>
      <c r="I6">
        <v>12</v>
      </c>
      <c r="J6" s="13">
        <f>IFERROR(_xlfn.XLOOKUP(F6,Annahmen!$I$6:$I$10,Annahmen!$J$6:$J$10),0)</f>
        <v>1</v>
      </c>
      <c r="K6" s="12">
        <f>G6*H6</f>
        <v>2322</v>
      </c>
      <c r="L6" s="12">
        <f>K6*I6</f>
        <v>27864</v>
      </c>
      <c r="M6" s="12">
        <f>L6*J6</f>
        <v>27864</v>
      </c>
      <c r="N6" t="str">
        <f>IF(E6="","","Q"&amp;ROUNDUP(MONTH(E6)/3,0))</f>
        <v>Q1</v>
      </c>
    </row>
    <row r="7" spans="1:14" x14ac:dyDescent="0.35">
      <c r="A7" t="s">
        <v>73</v>
      </c>
      <c r="B7" t="s">
        <v>74</v>
      </c>
      <c r="C7" t="s">
        <v>75</v>
      </c>
      <c r="D7" t="s">
        <v>46</v>
      </c>
      <c r="E7" s="11">
        <v>46068</v>
      </c>
      <c r="F7" t="s">
        <v>52</v>
      </c>
      <c r="G7">
        <v>31</v>
      </c>
      <c r="H7" s="12">
        <f>IFERROR(_xlfn.XLOOKUP(D7,Annahmen!$F$6:$F$8,Annahmen!$G$6:$G$8),0)</f>
        <v>79</v>
      </c>
      <c r="I7">
        <v>24</v>
      </c>
      <c r="J7" s="13">
        <f>IFERROR(_xlfn.XLOOKUP(F7,Annahmen!$I$6:$I$10,Annahmen!$J$6:$J$10),0)</f>
        <v>0.25</v>
      </c>
      <c r="K7" s="12">
        <f t="shared" ref="K7:K29" si="0">G7*H7</f>
        <v>2449</v>
      </c>
      <c r="L7" s="12">
        <f t="shared" ref="L7:L29" si="1">K7*I7</f>
        <v>58776</v>
      </c>
      <c r="M7" s="12">
        <f t="shared" ref="M7:M29" si="2">L7*J7</f>
        <v>14694</v>
      </c>
      <c r="N7" t="str">
        <f t="shared" ref="N7:N29" si="3">IF(E7="","","Q"&amp;ROUNDUP(MONTH(E7)/3,0))</f>
        <v>Q1</v>
      </c>
    </row>
    <row r="8" spans="1:14" x14ac:dyDescent="0.35">
      <c r="A8" t="s">
        <v>76</v>
      </c>
      <c r="B8" t="s">
        <v>77</v>
      </c>
      <c r="C8" t="s">
        <v>78</v>
      </c>
      <c r="D8" t="s">
        <v>48</v>
      </c>
      <c r="E8" s="11">
        <v>46103</v>
      </c>
      <c r="F8" t="s">
        <v>53</v>
      </c>
      <c r="G8">
        <v>44</v>
      </c>
      <c r="H8" s="12">
        <f>IFERROR(_xlfn.XLOOKUP(D8,Annahmen!$F$6:$F$8,Annahmen!$G$6:$G$8),0)</f>
        <v>189</v>
      </c>
      <c r="I8">
        <v>36</v>
      </c>
      <c r="J8" s="13">
        <f>IFERROR(_xlfn.XLOOKUP(F8,Annahmen!$I$6:$I$10,Annahmen!$J$6:$J$10),0)</f>
        <v>0.45</v>
      </c>
      <c r="K8" s="12">
        <f t="shared" si="0"/>
        <v>8316</v>
      </c>
      <c r="L8" s="12">
        <f t="shared" si="1"/>
        <v>299376</v>
      </c>
      <c r="M8" s="12">
        <f t="shared" si="2"/>
        <v>134719.20000000001</v>
      </c>
      <c r="N8" t="str">
        <f t="shared" si="3"/>
        <v>Q1</v>
      </c>
    </row>
    <row r="9" spans="1:14" x14ac:dyDescent="0.35">
      <c r="A9" t="s">
        <v>79</v>
      </c>
      <c r="B9" t="s">
        <v>80</v>
      </c>
      <c r="C9" t="s">
        <v>81</v>
      </c>
      <c r="D9" t="s">
        <v>47</v>
      </c>
      <c r="E9" s="11">
        <v>46138</v>
      </c>
      <c r="F9" t="s">
        <v>54</v>
      </c>
      <c r="G9">
        <v>57</v>
      </c>
      <c r="H9" s="12">
        <f>IFERROR(_xlfn.XLOOKUP(D9,Annahmen!$F$6:$F$8,Annahmen!$G$6:$G$8),0)</f>
        <v>129</v>
      </c>
      <c r="I9">
        <v>12</v>
      </c>
      <c r="J9" s="13">
        <f>IFERROR(_xlfn.XLOOKUP(F9,Annahmen!$I$6:$I$10,Annahmen!$J$6:$J$10),0)</f>
        <v>0.7</v>
      </c>
      <c r="K9" s="12">
        <f t="shared" si="0"/>
        <v>7353</v>
      </c>
      <c r="L9" s="12">
        <f t="shared" si="1"/>
        <v>88236</v>
      </c>
      <c r="M9" s="12">
        <f t="shared" si="2"/>
        <v>61765.2</v>
      </c>
      <c r="N9" t="str">
        <f t="shared" si="3"/>
        <v>Q2</v>
      </c>
    </row>
    <row r="10" spans="1:14" x14ac:dyDescent="0.35">
      <c r="A10" t="s">
        <v>82</v>
      </c>
      <c r="B10" t="s">
        <v>83</v>
      </c>
      <c r="C10" t="s">
        <v>72</v>
      </c>
      <c r="D10" t="s">
        <v>46</v>
      </c>
      <c r="E10" s="11">
        <v>46150</v>
      </c>
      <c r="F10" t="s">
        <v>51</v>
      </c>
      <c r="G10">
        <v>70</v>
      </c>
      <c r="H10" s="12">
        <f>IFERROR(_xlfn.XLOOKUP(D10,Annahmen!$F$6:$F$8,Annahmen!$G$6:$G$8),0)</f>
        <v>79</v>
      </c>
      <c r="I10">
        <v>24</v>
      </c>
      <c r="J10" s="13">
        <f>IFERROR(_xlfn.XLOOKUP(F10,Annahmen!$I$6:$I$10,Annahmen!$J$6:$J$10),0)</f>
        <v>0.1</v>
      </c>
      <c r="K10" s="12">
        <f t="shared" si="0"/>
        <v>5530</v>
      </c>
      <c r="L10" s="12">
        <f t="shared" si="1"/>
        <v>132720</v>
      </c>
      <c r="M10" s="12">
        <f t="shared" si="2"/>
        <v>13272</v>
      </c>
      <c r="N10" t="str">
        <f t="shared" si="3"/>
        <v>Q2</v>
      </c>
    </row>
    <row r="11" spans="1:14" x14ac:dyDescent="0.35">
      <c r="A11" t="s">
        <v>84</v>
      </c>
      <c r="B11" t="s">
        <v>85</v>
      </c>
      <c r="C11" t="s">
        <v>75</v>
      </c>
      <c r="D11" t="s">
        <v>48</v>
      </c>
      <c r="E11" s="11">
        <v>46188</v>
      </c>
      <c r="F11" t="s">
        <v>55</v>
      </c>
      <c r="G11">
        <v>83</v>
      </c>
      <c r="H11" s="12">
        <f>IFERROR(_xlfn.XLOOKUP(D11,Annahmen!$F$6:$F$8,Annahmen!$G$6:$G$8),0)</f>
        <v>189</v>
      </c>
      <c r="I11">
        <v>36</v>
      </c>
      <c r="J11" s="13">
        <f>IFERROR(_xlfn.XLOOKUP(F11,Annahmen!$I$6:$I$10,Annahmen!$J$6:$J$10),0)</f>
        <v>1</v>
      </c>
      <c r="K11" s="12">
        <f t="shared" si="0"/>
        <v>15687</v>
      </c>
      <c r="L11" s="12">
        <f t="shared" si="1"/>
        <v>564732</v>
      </c>
      <c r="M11" s="12">
        <f t="shared" si="2"/>
        <v>564732</v>
      </c>
      <c r="N11" t="str">
        <f t="shared" si="3"/>
        <v>Q2</v>
      </c>
    </row>
    <row r="12" spans="1:14" x14ac:dyDescent="0.35">
      <c r="A12" t="s">
        <v>86</v>
      </c>
      <c r="B12" t="s">
        <v>87</v>
      </c>
      <c r="C12" t="s">
        <v>78</v>
      </c>
      <c r="D12" t="s">
        <v>47</v>
      </c>
      <c r="E12" s="11">
        <v>46225</v>
      </c>
      <c r="F12" t="s">
        <v>53</v>
      </c>
      <c r="G12">
        <v>18</v>
      </c>
      <c r="H12" s="12">
        <f>IFERROR(_xlfn.XLOOKUP(D12,Annahmen!$F$6:$F$8,Annahmen!$G$6:$G$8),0)</f>
        <v>129</v>
      </c>
      <c r="I12">
        <v>12</v>
      </c>
      <c r="J12" s="13">
        <f>IFERROR(_xlfn.XLOOKUP(F12,Annahmen!$I$6:$I$10,Annahmen!$J$6:$J$10),0)</f>
        <v>0.45</v>
      </c>
      <c r="K12" s="12">
        <f t="shared" si="0"/>
        <v>2322</v>
      </c>
      <c r="L12" s="12">
        <f t="shared" si="1"/>
        <v>27864</v>
      </c>
      <c r="M12" s="12">
        <f t="shared" si="2"/>
        <v>12538.800000000001</v>
      </c>
      <c r="N12" t="str">
        <f t="shared" si="3"/>
        <v>Q3</v>
      </c>
    </row>
    <row r="13" spans="1:14" x14ac:dyDescent="0.35">
      <c r="A13" t="s">
        <v>88</v>
      </c>
      <c r="B13" t="s">
        <v>89</v>
      </c>
      <c r="C13" t="s">
        <v>81</v>
      </c>
      <c r="D13" t="s">
        <v>46</v>
      </c>
      <c r="E13" s="11">
        <v>46260</v>
      </c>
      <c r="F13" t="s">
        <v>52</v>
      </c>
      <c r="G13">
        <v>31</v>
      </c>
      <c r="H13" s="12">
        <f>IFERROR(_xlfn.XLOOKUP(D13,Annahmen!$F$6:$F$8,Annahmen!$G$6:$G$8),0)</f>
        <v>79</v>
      </c>
      <c r="I13">
        <v>24</v>
      </c>
      <c r="J13" s="13">
        <f>IFERROR(_xlfn.XLOOKUP(F13,Annahmen!$I$6:$I$10,Annahmen!$J$6:$J$10),0)</f>
        <v>0.25</v>
      </c>
      <c r="K13" s="12">
        <f t="shared" si="0"/>
        <v>2449</v>
      </c>
      <c r="L13" s="12">
        <f t="shared" si="1"/>
        <v>58776</v>
      </c>
      <c r="M13" s="12">
        <f t="shared" si="2"/>
        <v>14694</v>
      </c>
      <c r="N13" t="str">
        <f t="shared" si="3"/>
        <v>Q3</v>
      </c>
    </row>
    <row r="14" spans="1:14" x14ac:dyDescent="0.35">
      <c r="A14" t="s">
        <v>90</v>
      </c>
      <c r="B14" t="s">
        <v>91</v>
      </c>
      <c r="C14" t="s">
        <v>72</v>
      </c>
      <c r="D14" t="s">
        <v>47</v>
      </c>
      <c r="E14" s="11">
        <v>46273</v>
      </c>
      <c r="F14" t="s">
        <v>55</v>
      </c>
      <c r="G14">
        <v>44</v>
      </c>
      <c r="H14" s="12">
        <f>IFERROR(_xlfn.XLOOKUP(D14,Annahmen!$F$6:$F$8,Annahmen!$G$6:$G$8),0)</f>
        <v>129</v>
      </c>
      <c r="I14">
        <v>36</v>
      </c>
      <c r="J14" s="13">
        <f>IFERROR(_xlfn.XLOOKUP(F14,Annahmen!$I$6:$I$10,Annahmen!$J$6:$J$10),0)</f>
        <v>1</v>
      </c>
      <c r="K14" s="12">
        <f t="shared" si="0"/>
        <v>5676</v>
      </c>
      <c r="L14" s="12">
        <f t="shared" si="1"/>
        <v>204336</v>
      </c>
      <c r="M14" s="12">
        <f t="shared" si="2"/>
        <v>204336</v>
      </c>
      <c r="N14" t="str">
        <f t="shared" si="3"/>
        <v>Q3</v>
      </c>
    </row>
    <row r="15" spans="1:14" x14ac:dyDescent="0.35">
      <c r="A15" t="s">
        <v>92</v>
      </c>
      <c r="B15" t="s">
        <v>93</v>
      </c>
      <c r="C15" t="s">
        <v>75</v>
      </c>
      <c r="D15" t="s">
        <v>48</v>
      </c>
      <c r="E15" s="11">
        <v>46310</v>
      </c>
      <c r="F15" t="s">
        <v>54</v>
      </c>
      <c r="G15">
        <v>57</v>
      </c>
      <c r="H15" s="12">
        <f>IFERROR(_xlfn.XLOOKUP(D15,Annahmen!$F$6:$F$8,Annahmen!$G$6:$G$8),0)</f>
        <v>189</v>
      </c>
      <c r="I15">
        <v>12</v>
      </c>
      <c r="J15" s="13">
        <f>IFERROR(_xlfn.XLOOKUP(F15,Annahmen!$I$6:$I$10,Annahmen!$J$6:$J$10),0)</f>
        <v>0.7</v>
      </c>
      <c r="K15" s="12">
        <f t="shared" si="0"/>
        <v>10773</v>
      </c>
      <c r="L15" s="12">
        <f t="shared" si="1"/>
        <v>129276</v>
      </c>
      <c r="M15" s="12">
        <f t="shared" si="2"/>
        <v>90493.2</v>
      </c>
      <c r="N15" t="str">
        <f t="shared" si="3"/>
        <v>Q4</v>
      </c>
    </row>
    <row r="16" spans="1:14" x14ac:dyDescent="0.35">
      <c r="A16" t="s">
        <v>94</v>
      </c>
      <c r="B16" t="s">
        <v>95</v>
      </c>
      <c r="C16" t="s">
        <v>78</v>
      </c>
      <c r="D16" t="s">
        <v>46</v>
      </c>
      <c r="E16" s="11">
        <v>46348</v>
      </c>
      <c r="F16" t="s">
        <v>53</v>
      </c>
      <c r="G16">
        <v>70</v>
      </c>
      <c r="H16" s="12">
        <f>IFERROR(_xlfn.XLOOKUP(D16,Annahmen!$F$6:$F$8,Annahmen!$G$6:$G$8),0)</f>
        <v>79</v>
      </c>
      <c r="I16">
        <v>24</v>
      </c>
      <c r="J16" s="13">
        <f>IFERROR(_xlfn.XLOOKUP(F16,Annahmen!$I$6:$I$10,Annahmen!$J$6:$J$10),0)</f>
        <v>0.45</v>
      </c>
      <c r="K16" s="12">
        <f t="shared" si="0"/>
        <v>5530</v>
      </c>
      <c r="L16" s="12">
        <f t="shared" si="1"/>
        <v>132720</v>
      </c>
      <c r="M16" s="12">
        <f t="shared" si="2"/>
        <v>59724</v>
      </c>
      <c r="N16" t="str">
        <f t="shared" si="3"/>
        <v>Q4</v>
      </c>
    </row>
    <row r="17" spans="1:14" x14ac:dyDescent="0.35">
      <c r="A17" t="s">
        <v>96</v>
      </c>
      <c r="B17" t="s">
        <v>97</v>
      </c>
      <c r="C17" t="s">
        <v>81</v>
      </c>
      <c r="D17" t="s">
        <v>48</v>
      </c>
      <c r="E17" s="11">
        <v>46382</v>
      </c>
      <c r="F17" t="s">
        <v>55</v>
      </c>
      <c r="G17">
        <v>83</v>
      </c>
      <c r="H17" s="12">
        <f>IFERROR(_xlfn.XLOOKUP(D17,Annahmen!$F$6:$F$8,Annahmen!$G$6:$G$8),0)</f>
        <v>189</v>
      </c>
      <c r="I17">
        <v>36</v>
      </c>
      <c r="J17" s="13">
        <f>IFERROR(_xlfn.XLOOKUP(F17,Annahmen!$I$6:$I$10,Annahmen!$J$6:$J$10),0)</f>
        <v>1</v>
      </c>
      <c r="K17" s="12">
        <f t="shared" si="0"/>
        <v>15687</v>
      </c>
      <c r="L17" s="12">
        <f t="shared" si="1"/>
        <v>564732</v>
      </c>
      <c r="M17" s="12">
        <f t="shared" si="2"/>
        <v>564732</v>
      </c>
      <c r="N17" t="str">
        <f t="shared" si="3"/>
        <v>Q4</v>
      </c>
    </row>
    <row r="18" spans="1:14" x14ac:dyDescent="0.35">
      <c r="A18" t="s">
        <v>98</v>
      </c>
      <c r="B18" t="s">
        <v>99</v>
      </c>
      <c r="C18" t="s">
        <v>72</v>
      </c>
      <c r="D18" t="s">
        <v>47</v>
      </c>
      <c r="E18" s="11">
        <v>46030</v>
      </c>
      <c r="F18" t="s">
        <v>52</v>
      </c>
      <c r="G18">
        <v>18</v>
      </c>
      <c r="H18" s="12">
        <f>IFERROR(_xlfn.XLOOKUP(D18,Annahmen!$F$6:$F$8,Annahmen!$G$6:$G$8),0)</f>
        <v>129</v>
      </c>
      <c r="I18">
        <v>12</v>
      </c>
      <c r="J18" s="13">
        <f>IFERROR(_xlfn.XLOOKUP(F18,Annahmen!$I$6:$I$10,Annahmen!$J$6:$J$10),0)</f>
        <v>0.25</v>
      </c>
      <c r="K18" s="12">
        <f t="shared" si="0"/>
        <v>2322</v>
      </c>
      <c r="L18" s="12">
        <f t="shared" si="1"/>
        <v>27864</v>
      </c>
      <c r="M18" s="12">
        <f t="shared" si="2"/>
        <v>6966</v>
      </c>
      <c r="N18" t="str">
        <f t="shared" si="3"/>
        <v>Q1</v>
      </c>
    </row>
    <row r="19" spans="1:14" x14ac:dyDescent="0.35">
      <c r="A19" t="s">
        <v>100</v>
      </c>
      <c r="B19" t="s">
        <v>101</v>
      </c>
      <c r="C19" t="s">
        <v>75</v>
      </c>
      <c r="D19" t="s">
        <v>46</v>
      </c>
      <c r="E19" s="11">
        <v>46068</v>
      </c>
      <c r="F19" t="s">
        <v>51</v>
      </c>
      <c r="G19">
        <v>31</v>
      </c>
      <c r="H19" s="12">
        <f>IFERROR(_xlfn.XLOOKUP(D19,Annahmen!$F$6:$F$8,Annahmen!$G$6:$G$8),0)</f>
        <v>79</v>
      </c>
      <c r="I19">
        <v>24</v>
      </c>
      <c r="J19" s="13">
        <f>IFERROR(_xlfn.XLOOKUP(F19,Annahmen!$I$6:$I$10,Annahmen!$J$6:$J$10),0)</f>
        <v>0.1</v>
      </c>
      <c r="K19" s="12">
        <f t="shared" si="0"/>
        <v>2449</v>
      </c>
      <c r="L19" s="12">
        <f t="shared" si="1"/>
        <v>58776</v>
      </c>
      <c r="M19" s="12">
        <f t="shared" si="2"/>
        <v>5877.6</v>
      </c>
      <c r="N19" t="str">
        <f t="shared" si="3"/>
        <v>Q1</v>
      </c>
    </row>
    <row r="20" spans="1:14" x14ac:dyDescent="0.35">
      <c r="A20" t="s">
        <v>102</v>
      </c>
      <c r="B20" t="s">
        <v>103</v>
      </c>
      <c r="C20" t="s">
        <v>78</v>
      </c>
      <c r="D20" t="s">
        <v>47</v>
      </c>
      <c r="E20" s="11">
        <v>46103</v>
      </c>
      <c r="F20" t="s">
        <v>55</v>
      </c>
      <c r="G20">
        <v>44</v>
      </c>
      <c r="H20" s="12">
        <f>IFERROR(_xlfn.XLOOKUP(D20,Annahmen!$F$6:$F$8,Annahmen!$G$6:$G$8),0)</f>
        <v>129</v>
      </c>
      <c r="I20">
        <v>36</v>
      </c>
      <c r="J20" s="13">
        <f>IFERROR(_xlfn.XLOOKUP(F20,Annahmen!$I$6:$I$10,Annahmen!$J$6:$J$10),0)</f>
        <v>1</v>
      </c>
      <c r="K20" s="12">
        <f t="shared" si="0"/>
        <v>5676</v>
      </c>
      <c r="L20" s="12">
        <f t="shared" si="1"/>
        <v>204336</v>
      </c>
      <c r="M20" s="12">
        <f t="shared" si="2"/>
        <v>204336</v>
      </c>
      <c r="N20" t="str">
        <f t="shared" si="3"/>
        <v>Q1</v>
      </c>
    </row>
    <row r="21" spans="1:14" x14ac:dyDescent="0.35">
      <c r="A21" t="s">
        <v>104</v>
      </c>
      <c r="B21" t="s">
        <v>105</v>
      </c>
      <c r="C21" t="s">
        <v>81</v>
      </c>
      <c r="D21" t="s">
        <v>48</v>
      </c>
      <c r="E21" s="11">
        <v>46138</v>
      </c>
      <c r="F21" t="s">
        <v>54</v>
      </c>
      <c r="G21">
        <v>57</v>
      </c>
      <c r="H21" s="12">
        <f>IFERROR(_xlfn.XLOOKUP(D21,Annahmen!$F$6:$F$8,Annahmen!$G$6:$G$8),0)</f>
        <v>189</v>
      </c>
      <c r="I21">
        <v>12</v>
      </c>
      <c r="J21" s="13">
        <f>IFERROR(_xlfn.XLOOKUP(F21,Annahmen!$I$6:$I$10,Annahmen!$J$6:$J$10),0)</f>
        <v>0.7</v>
      </c>
      <c r="K21" s="12">
        <f t="shared" si="0"/>
        <v>10773</v>
      </c>
      <c r="L21" s="12">
        <f t="shared" si="1"/>
        <v>129276</v>
      </c>
      <c r="M21" s="12">
        <f t="shared" si="2"/>
        <v>90493.2</v>
      </c>
      <c r="N21" t="str">
        <f t="shared" si="3"/>
        <v>Q2</v>
      </c>
    </row>
    <row r="22" spans="1:14" x14ac:dyDescent="0.35">
      <c r="A22" t="s">
        <v>106</v>
      </c>
      <c r="B22" t="s">
        <v>107</v>
      </c>
      <c r="C22" t="s">
        <v>72</v>
      </c>
      <c r="D22" t="s">
        <v>46</v>
      </c>
      <c r="E22" s="11">
        <v>46150</v>
      </c>
      <c r="F22" t="s">
        <v>53</v>
      </c>
      <c r="G22">
        <v>70</v>
      </c>
      <c r="H22" s="12">
        <f>IFERROR(_xlfn.XLOOKUP(D22,Annahmen!$F$6:$F$8,Annahmen!$G$6:$G$8),0)</f>
        <v>79</v>
      </c>
      <c r="I22">
        <v>24</v>
      </c>
      <c r="J22" s="13">
        <f>IFERROR(_xlfn.XLOOKUP(F22,Annahmen!$I$6:$I$10,Annahmen!$J$6:$J$10),0)</f>
        <v>0.45</v>
      </c>
      <c r="K22" s="12">
        <f t="shared" si="0"/>
        <v>5530</v>
      </c>
      <c r="L22" s="12">
        <f t="shared" si="1"/>
        <v>132720</v>
      </c>
      <c r="M22" s="12">
        <f t="shared" si="2"/>
        <v>59724</v>
      </c>
      <c r="N22" t="str">
        <f t="shared" si="3"/>
        <v>Q2</v>
      </c>
    </row>
    <row r="23" spans="1:14" x14ac:dyDescent="0.35">
      <c r="A23" t="s">
        <v>108</v>
      </c>
      <c r="B23" t="s">
        <v>109</v>
      </c>
      <c r="C23" t="s">
        <v>75</v>
      </c>
      <c r="D23" t="s">
        <v>47</v>
      </c>
      <c r="E23" s="11">
        <v>46188</v>
      </c>
      <c r="F23" t="s">
        <v>55</v>
      </c>
      <c r="G23">
        <v>83</v>
      </c>
      <c r="H23" s="12">
        <f>IFERROR(_xlfn.XLOOKUP(D23,Annahmen!$F$6:$F$8,Annahmen!$G$6:$G$8),0)</f>
        <v>129</v>
      </c>
      <c r="I23">
        <v>36</v>
      </c>
      <c r="J23" s="13">
        <f>IFERROR(_xlfn.XLOOKUP(F23,Annahmen!$I$6:$I$10,Annahmen!$J$6:$J$10),0)</f>
        <v>1</v>
      </c>
      <c r="K23" s="12">
        <f t="shared" si="0"/>
        <v>10707</v>
      </c>
      <c r="L23" s="12">
        <f t="shared" si="1"/>
        <v>385452</v>
      </c>
      <c r="M23" s="12">
        <f t="shared" si="2"/>
        <v>385452</v>
      </c>
      <c r="N23" t="str">
        <f t="shared" si="3"/>
        <v>Q2</v>
      </c>
    </row>
    <row r="24" spans="1:14" x14ac:dyDescent="0.35">
      <c r="A24" t="s">
        <v>110</v>
      </c>
      <c r="B24" t="s">
        <v>111</v>
      </c>
      <c r="C24" t="s">
        <v>78</v>
      </c>
      <c r="D24" t="s">
        <v>48</v>
      </c>
      <c r="E24" s="11">
        <v>46225</v>
      </c>
      <c r="F24" t="s">
        <v>52</v>
      </c>
      <c r="G24">
        <v>18</v>
      </c>
      <c r="H24" s="12">
        <f>IFERROR(_xlfn.XLOOKUP(D24,Annahmen!$F$6:$F$8,Annahmen!$G$6:$G$8),0)</f>
        <v>189</v>
      </c>
      <c r="I24">
        <v>12</v>
      </c>
      <c r="J24" s="13">
        <f>IFERROR(_xlfn.XLOOKUP(F24,Annahmen!$I$6:$I$10,Annahmen!$J$6:$J$10),0)</f>
        <v>0.25</v>
      </c>
      <c r="K24" s="12">
        <f t="shared" si="0"/>
        <v>3402</v>
      </c>
      <c r="L24" s="12">
        <f t="shared" si="1"/>
        <v>40824</v>
      </c>
      <c r="M24" s="12">
        <f t="shared" si="2"/>
        <v>10206</v>
      </c>
      <c r="N24" t="str">
        <f t="shared" si="3"/>
        <v>Q3</v>
      </c>
    </row>
    <row r="25" spans="1:14" x14ac:dyDescent="0.35">
      <c r="A25" t="s">
        <v>112</v>
      </c>
      <c r="B25" t="s">
        <v>113</v>
      </c>
      <c r="C25" t="s">
        <v>81</v>
      </c>
      <c r="D25" t="s">
        <v>47</v>
      </c>
      <c r="E25" s="11">
        <v>46260</v>
      </c>
      <c r="F25" t="s">
        <v>53</v>
      </c>
      <c r="G25">
        <v>31</v>
      </c>
      <c r="H25" s="12">
        <f>IFERROR(_xlfn.XLOOKUP(D25,Annahmen!$F$6:$F$8,Annahmen!$G$6:$G$8),0)</f>
        <v>129</v>
      </c>
      <c r="I25">
        <v>24</v>
      </c>
      <c r="J25" s="13">
        <f>IFERROR(_xlfn.XLOOKUP(F25,Annahmen!$I$6:$I$10,Annahmen!$J$6:$J$10),0)</f>
        <v>0.45</v>
      </c>
      <c r="K25" s="12">
        <f t="shared" si="0"/>
        <v>3999</v>
      </c>
      <c r="L25" s="12">
        <f t="shared" si="1"/>
        <v>95976</v>
      </c>
      <c r="M25" s="12">
        <f t="shared" si="2"/>
        <v>43189.200000000004</v>
      </c>
      <c r="N25" t="str">
        <f t="shared" si="3"/>
        <v>Q3</v>
      </c>
    </row>
    <row r="26" spans="1:14" x14ac:dyDescent="0.35">
      <c r="A26" t="s">
        <v>114</v>
      </c>
      <c r="B26" t="s">
        <v>115</v>
      </c>
      <c r="C26" t="s">
        <v>72</v>
      </c>
      <c r="D26" t="s">
        <v>46</v>
      </c>
      <c r="E26" s="11">
        <v>46273</v>
      </c>
      <c r="F26" t="s">
        <v>55</v>
      </c>
      <c r="G26">
        <v>44</v>
      </c>
      <c r="H26" s="12">
        <f>IFERROR(_xlfn.XLOOKUP(D26,Annahmen!$F$6:$F$8,Annahmen!$G$6:$G$8),0)</f>
        <v>79</v>
      </c>
      <c r="I26">
        <v>36</v>
      </c>
      <c r="J26" s="13">
        <f>IFERROR(_xlfn.XLOOKUP(F26,Annahmen!$I$6:$I$10,Annahmen!$J$6:$J$10),0)</f>
        <v>1</v>
      </c>
      <c r="K26" s="12">
        <f t="shared" si="0"/>
        <v>3476</v>
      </c>
      <c r="L26" s="12">
        <f t="shared" si="1"/>
        <v>125136</v>
      </c>
      <c r="M26" s="12">
        <f t="shared" si="2"/>
        <v>125136</v>
      </c>
      <c r="N26" t="str">
        <f t="shared" si="3"/>
        <v>Q3</v>
      </c>
    </row>
    <row r="27" spans="1:14" x14ac:dyDescent="0.35">
      <c r="A27" t="s">
        <v>116</v>
      </c>
      <c r="B27" t="s">
        <v>117</v>
      </c>
      <c r="C27" t="s">
        <v>75</v>
      </c>
      <c r="D27" t="s">
        <v>48</v>
      </c>
      <c r="E27" s="11">
        <v>46310</v>
      </c>
      <c r="F27" t="s">
        <v>54</v>
      </c>
      <c r="G27">
        <v>57</v>
      </c>
      <c r="H27" s="12">
        <f>IFERROR(_xlfn.XLOOKUP(D27,Annahmen!$F$6:$F$8,Annahmen!$G$6:$G$8),0)</f>
        <v>189</v>
      </c>
      <c r="I27">
        <v>12</v>
      </c>
      <c r="J27" s="13">
        <f>IFERROR(_xlfn.XLOOKUP(F27,Annahmen!$I$6:$I$10,Annahmen!$J$6:$J$10),0)</f>
        <v>0.7</v>
      </c>
      <c r="K27" s="12">
        <f t="shared" si="0"/>
        <v>10773</v>
      </c>
      <c r="L27" s="12">
        <f t="shared" si="1"/>
        <v>129276</v>
      </c>
      <c r="M27" s="12">
        <f t="shared" si="2"/>
        <v>90493.2</v>
      </c>
      <c r="N27" t="str">
        <f t="shared" si="3"/>
        <v>Q4</v>
      </c>
    </row>
    <row r="28" spans="1:14" x14ac:dyDescent="0.35">
      <c r="A28" t="s">
        <v>118</v>
      </c>
      <c r="B28" t="s">
        <v>119</v>
      </c>
      <c r="C28" t="s">
        <v>78</v>
      </c>
      <c r="D28" t="s">
        <v>47</v>
      </c>
      <c r="E28" s="11">
        <v>46348</v>
      </c>
      <c r="F28" t="s">
        <v>55</v>
      </c>
      <c r="G28">
        <v>70</v>
      </c>
      <c r="H28" s="12">
        <f>IFERROR(_xlfn.XLOOKUP(D28,Annahmen!$F$6:$F$8,Annahmen!$G$6:$G$8),0)</f>
        <v>129</v>
      </c>
      <c r="I28">
        <v>24</v>
      </c>
      <c r="J28" s="13">
        <f>IFERROR(_xlfn.XLOOKUP(F28,Annahmen!$I$6:$I$10,Annahmen!$J$6:$J$10),0)</f>
        <v>1</v>
      </c>
      <c r="K28" s="12">
        <f t="shared" si="0"/>
        <v>9030</v>
      </c>
      <c r="L28" s="12">
        <f t="shared" si="1"/>
        <v>216720</v>
      </c>
      <c r="M28" s="12">
        <f t="shared" si="2"/>
        <v>216720</v>
      </c>
      <c r="N28" t="str">
        <f t="shared" si="3"/>
        <v>Q4</v>
      </c>
    </row>
    <row r="29" spans="1:14" x14ac:dyDescent="0.35">
      <c r="A29" t="s">
        <v>120</v>
      </c>
      <c r="B29" t="s">
        <v>121</v>
      </c>
      <c r="C29" t="s">
        <v>81</v>
      </c>
      <c r="D29" t="s">
        <v>48</v>
      </c>
      <c r="E29" s="11">
        <v>46382</v>
      </c>
      <c r="F29" t="s">
        <v>53</v>
      </c>
      <c r="G29">
        <v>83</v>
      </c>
      <c r="H29" s="12">
        <f>IFERROR(_xlfn.XLOOKUP(D29,Annahmen!$F$6:$F$8,Annahmen!$G$6:$G$8),0)</f>
        <v>189</v>
      </c>
      <c r="I29">
        <v>36</v>
      </c>
      <c r="J29" s="13">
        <f>IFERROR(_xlfn.XLOOKUP(F29,Annahmen!$I$6:$I$10,Annahmen!$J$6:$J$10),0)</f>
        <v>0.45</v>
      </c>
      <c r="K29" s="12">
        <f t="shared" si="0"/>
        <v>15687</v>
      </c>
      <c r="L29" s="12">
        <f t="shared" si="1"/>
        <v>564732</v>
      </c>
      <c r="M29" s="12">
        <f t="shared" si="2"/>
        <v>254129.4</v>
      </c>
      <c r="N29" t="str">
        <f t="shared" si="3"/>
        <v>Q4</v>
      </c>
    </row>
    <row r="30" spans="1:14" ht="21" customHeight="1" x14ac:dyDescent="0.35"/>
    <row r="31" spans="1:14" ht="21" customHeight="1" x14ac:dyDescent="0.35"/>
    <row r="32" spans="1:14" ht="21" customHeight="1" x14ac:dyDescent="0.35"/>
  </sheetData>
  <conditionalFormatting sqref="M6:M2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{D3595105-014A-4C39-A2F8-BEF056F90CA6}</x14:id>
        </ext>
      </extLst>
    </cfRule>
  </conditionalFormatting>
  <pageMargins left="0.7" right="0.7" top="0.78740157499999996" bottom="0.78740157499999996" header="0.3" footer="0.3"/>
  <headerFooter>
    <oddHeader>&amp;L&amp;"Aptos"&amp;10&amp;K000000 Vertraulich&amp;1#_x000D_</oddHeader>
  </headerFooter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595105-014A-4C39-A2F8-BEF056F90CA6}">
            <x14:dataBar minLength="0" maxLength="100" negativeBarColorSameAsPositive="1" axisPosition="none">
              <x14:cfvo type="min"/>
              <x14:cfvo type="max"/>
            </x14:dataBar>
          </x14:cfRule>
          <xm:sqref>M6:M29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2BC5-30B9-4599-B473-46CD58E38E9A}">
  <dimension ref="A1:N32"/>
  <sheetViews>
    <sheetView workbookViewId="0"/>
  </sheetViews>
  <sheetFormatPr baseColWidth="10" defaultRowHeight="14.5" x14ac:dyDescent="0.35"/>
  <cols>
    <col min="1" max="1" width="16.36328125" customWidth="1"/>
    <col min="2" max="2" width="29.08984375" customWidth="1"/>
    <col min="3" max="4" width="10.08984375" bestFit="1" customWidth="1"/>
    <col min="5" max="5" width="26.36328125" customWidth="1"/>
    <col min="6" max="6" width="8.26953125" bestFit="1" customWidth="1"/>
    <col min="7" max="7" width="6.6328125" bestFit="1" customWidth="1"/>
    <col min="8" max="8" width="12.1796875" bestFit="1" customWidth="1"/>
    <col min="9" max="9" width="21.81640625" customWidth="1"/>
    <col min="10" max="10" width="11.81640625" bestFit="1" customWidth="1"/>
    <col min="11" max="11" width="8.26953125" bestFit="1" customWidth="1"/>
    <col min="12" max="12" width="7.81640625" bestFit="1" customWidth="1"/>
    <col min="13" max="13" width="14.81640625" bestFit="1" customWidth="1"/>
    <col min="14" max="14" width="20.90625" customWidth="1"/>
  </cols>
  <sheetData>
    <row r="1" spans="1:14" ht="21" customHeight="1" x14ac:dyDescent="0.35"/>
    <row r="2" spans="1:14" ht="24.5" x14ac:dyDescent="0.55000000000000004">
      <c r="B2" s="5" t="s">
        <v>122</v>
      </c>
    </row>
    <row r="3" spans="1:14" ht="27" customHeight="1" x14ac:dyDescent="0.35">
      <c r="B3" s="6" t="s">
        <v>123</v>
      </c>
    </row>
    <row r="5" spans="1:14" x14ac:dyDescent="0.35">
      <c r="A5" s="7" t="s">
        <v>124</v>
      </c>
      <c r="B5" s="7" t="s">
        <v>59</v>
      </c>
      <c r="C5" s="7" t="s">
        <v>125</v>
      </c>
      <c r="D5" s="7" t="s">
        <v>126</v>
      </c>
      <c r="E5" s="7" t="s">
        <v>127</v>
      </c>
      <c r="F5" s="7" t="s">
        <v>128</v>
      </c>
      <c r="G5" s="7" t="s">
        <v>129</v>
      </c>
      <c r="H5" s="7" t="s">
        <v>130</v>
      </c>
      <c r="I5" s="7" t="s">
        <v>131</v>
      </c>
      <c r="J5" s="7" t="s">
        <v>132</v>
      </c>
      <c r="K5" s="7" t="s">
        <v>133</v>
      </c>
      <c r="L5" s="7" t="s">
        <v>134</v>
      </c>
      <c r="M5" s="7" t="s">
        <v>135</v>
      </c>
      <c r="N5" s="7" t="s">
        <v>136</v>
      </c>
    </row>
    <row r="6" spans="1:14" x14ac:dyDescent="0.35">
      <c r="A6" t="s">
        <v>137</v>
      </c>
      <c r="B6" t="s">
        <v>71</v>
      </c>
      <c r="C6" s="11">
        <v>46025</v>
      </c>
      <c r="D6" s="11">
        <v>46065</v>
      </c>
      <c r="E6" t="s">
        <v>138</v>
      </c>
      <c r="F6">
        <v>120</v>
      </c>
      <c r="G6">
        <v>85</v>
      </c>
      <c r="H6" s="12">
        <v>18000</v>
      </c>
      <c r="I6" t="s">
        <v>139</v>
      </c>
      <c r="J6" s="13">
        <f>IFERROR(MIN(1,G6/F6),0)</f>
        <v>0.70833333333333337</v>
      </c>
      <c r="K6">
        <f>MAX(0,F6-G6)</f>
        <v>35</v>
      </c>
      <c r="L6" s="12">
        <f>H6-G6*Annahmen!$B$9</f>
        <v>12475</v>
      </c>
      <c r="M6">
        <f>G6-F6</f>
        <v>-35</v>
      </c>
      <c r="N6" t="str">
        <f>IF(D6&lt;Annahmen!$B$14,IF(J6&gt;=1,"Abgeschlossen","Überfällig"),"Im Plan")</f>
        <v>Überfällig</v>
      </c>
    </row>
    <row r="7" spans="1:14" x14ac:dyDescent="0.35">
      <c r="A7" t="s">
        <v>140</v>
      </c>
      <c r="B7" t="s">
        <v>77</v>
      </c>
      <c r="C7" s="11">
        <v>46060</v>
      </c>
      <c r="D7" s="11">
        <v>46097</v>
      </c>
      <c r="E7" t="s">
        <v>141</v>
      </c>
      <c r="F7">
        <v>157</v>
      </c>
      <c r="G7">
        <v>116</v>
      </c>
      <c r="H7" s="12">
        <v>25300</v>
      </c>
      <c r="I7" t="s">
        <v>142</v>
      </c>
      <c r="J7" s="13">
        <f t="shared" ref="J7:J17" si="0">IFERROR(MIN(1,G7/F7),0)</f>
        <v>0.73885350318471332</v>
      </c>
      <c r="K7">
        <f t="shared" ref="K7:K17" si="1">MAX(0,F7-G7)</f>
        <v>41</v>
      </c>
      <c r="L7" s="12">
        <f>H7-G7*Annahmen!$B$9</f>
        <v>17760</v>
      </c>
      <c r="M7">
        <f t="shared" ref="M7:M17" si="2">G7-F7</f>
        <v>-41</v>
      </c>
      <c r="N7" t="str">
        <f>IF(D7&lt;Annahmen!$B$14,IF(J7&gt;=1,"Abgeschlossen","Überfällig"),"Im Plan")</f>
        <v>Überfällig</v>
      </c>
    </row>
    <row r="8" spans="1:14" x14ac:dyDescent="0.35">
      <c r="A8" t="s">
        <v>143</v>
      </c>
      <c r="B8" t="s">
        <v>83</v>
      </c>
      <c r="C8" s="11">
        <v>46092</v>
      </c>
      <c r="D8" s="11">
        <v>46132</v>
      </c>
      <c r="E8" t="s">
        <v>144</v>
      </c>
      <c r="F8">
        <v>194</v>
      </c>
      <c r="G8">
        <v>147</v>
      </c>
      <c r="H8" s="12">
        <v>32600</v>
      </c>
      <c r="I8" t="s">
        <v>145</v>
      </c>
      <c r="J8" s="13">
        <f t="shared" si="0"/>
        <v>0.75773195876288657</v>
      </c>
      <c r="K8">
        <f t="shared" si="1"/>
        <v>47</v>
      </c>
      <c r="L8" s="12">
        <f>H8-G8*Annahmen!$B$9</f>
        <v>23045</v>
      </c>
      <c r="M8">
        <f t="shared" si="2"/>
        <v>-47</v>
      </c>
      <c r="N8" t="str">
        <f>IF(D8&lt;Annahmen!$B$14,IF(J8&gt;=1,"Abgeschlossen","Überfällig"),"Im Plan")</f>
        <v>Überfällig</v>
      </c>
    </row>
    <row r="9" spans="1:14" x14ac:dyDescent="0.35">
      <c r="A9" t="s">
        <v>146</v>
      </c>
      <c r="B9" t="s">
        <v>87</v>
      </c>
      <c r="C9" s="11">
        <v>46115</v>
      </c>
      <c r="D9" s="11">
        <v>46154</v>
      </c>
      <c r="E9" t="s">
        <v>147</v>
      </c>
      <c r="F9">
        <v>231</v>
      </c>
      <c r="G9">
        <v>178</v>
      </c>
      <c r="H9" s="12">
        <v>39900</v>
      </c>
      <c r="I9" t="s">
        <v>148</v>
      </c>
      <c r="J9" s="13">
        <f t="shared" si="0"/>
        <v>0.77056277056277056</v>
      </c>
      <c r="K9">
        <f t="shared" si="1"/>
        <v>53</v>
      </c>
      <c r="L9" s="12">
        <f>H9-G9*Annahmen!$B$9</f>
        <v>28330</v>
      </c>
      <c r="M9">
        <f t="shared" si="2"/>
        <v>-53</v>
      </c>
      <c r="N9" t="str">
        <f>IF(D9&lt;Annahmen!$B$14,IF(J9&gt;=1,"Abgeschlossen","Überfällig"),"Im Plan")</f>
        <v>Überfällig</v>
      </c>
    </row>
    <row r="10" spans="1:14" x14ac:dyDescent="0.35">
      <c r="A10" t="s">
        <v>149</v>
      </c>
      <c r="B10" t="s">
        <v>91</v>
      </c>
      <c r="C10" s="11">
        <v>46149</v>
      </c>
      <c r="D10" s="11">
        <v>46189</v>
      </c>
      <c r="E10" t="s">
        <v>138</v>
      </c>
      <c r="F10">
        <v>268</v>
      </c>
      <c r="G10">
        <v>209</v>
      </c>
      <c r="H10" s="12">
        <v>47200</v>
      </c>
      <c r="I10" t="s">
        <v>139</v>
      </c>
      <c r="J10" s="13">
        <f t="shared" si="0"/>
        <v>0.77985074626865669</v>
      </c>
      <c r="K10">
        <f t="shared" si="1"/>
        <v>59</v>
      </c>
      <c r="L10" s="12">
        <f>H10-G10*Annahmen!$B$9</f>
        <v>33615</v>
      </c>
      <c r="M10">
        <f t="shared" si="2"/>
        <v>-59</v>
      </c>
      <c r="N10" t="str">
        <f>IF(D10&lt;Annahmen!$B$14,IF(J10&gt;=1,"Abgeschlossen","Überfällig"),"Im Plan")</f>
        <v>Überfällig</v>
      </c>
    </row>
    <row r="11" spans="1:14" x14ac:dyDescent="0.35">
      <c r="A11" t="s">
        <v>150</v>
      </c>
      <c r="B11" t="s">
        <v>95</v>
      </c>
      <c r="C11" s="11">
        <v>46184</v>
      </c>
      <c r="D11" s="11">
        <v>46223</v>
      </c>
      <c r="E11" t="s">
        <v>141</v>
      </c>
      <c r="F11">
        <v>305</v>
      </c>
      <c r="G11">
        <v>240</v>
      </c>
      <c r="H11" s="12">
        <v>54500</v>
      </c>
      <c r="I11" t="s">
        <v>142</v>
      </c>
      <c r="J11" s="13">
        <f t="shared" si="0"/>
        <v>0.78688524590163933</v>
      </c>
      <c r="K11">
        <f t="shared" si="1"/>
        <v>65</v>
      </c>
      <c r="L11" s="12">
        <f>H11-G11*Annahmen!$B$9</f>
        <v>38900</v>
      </c>
      <c r="M11">
        <f t="shared" si="2"/>
        <v>-65</v>
      </c>
      <c r="N11" t="str">
        <f>IF(D11&lt;Annahmen!$B$14,IF(J11&gt;=1,"Abgeschlossen","Überfällig"),"Im Plan")</f>
        <v>Überfällig</v>
      </c>
    </row>
    <row r="12" spans="1:14" x14ac:dyDescent="0.35">
      <c r="A12" t="s">
        <v>151</v>
      </c>
      <c r="B12" t="s">
        <v>99</v>
      </c>
      <c r="C12" s="11">
        <v>46206</v>
      </c>
      <c r="D12" s="11">
        <v>46246</v>
      </c>
      <c r="E12" t="s">
        <v>144</v>
      </c>
      <c r="F12">
        <v>342</v>
      </c>
      <c r="G12">
        <v>271</v>
      </c>
      <c r="H12" s="12">
        <v>61800</v>
      </c>
      <c r="I12" t="s">
        <v>145</v>
      </c>
      <c r="J12" s="13">
        <f t="shared" si="0"/>
        <v>0.79239766081871343</v>
      </c>
      <c r="K12">
        <f t="shared" si="1"/>
        <v>71</v>
      </c>
      <c r="L12" s="12">
        <f>H12-G12*Annahmen!$B$9</f>
        <v>44185</v>
      </c>
      <c r="M12">
        <f t="shared" si="2"/>
        <v>-71</v>
      </c>
      <c r="N12" t="str">
        <f>IF(D12&lt;Annahmen!$B$14,IF(J12&gt;=1,"Abgeschlossen","Überfällig"),"Im Plan")</f>
        <v>Überfällig</v>
      </c>
    </row>
    <row r="13" spans="1:14" x14ac:dyDescent="0.35">
      <c r="A13" t="s">
        <v>152</v>
      </c>
      <c r="B13" t="s">
        <v>103</v>
      </c>
      <c r="C13" s="11">
        <v>46241</v>
      </c>
      <c r="D13" s="11">
        <v>46281</v>
      </c>
      <c r="E13" t="s">
        <v>147</v>
      </c>
      <c r="F13">
        <v>139</v>
      </c>
      <c r="G13">
        <v>92</v>
      </c>
      <c r="H13" s="12">
        <v>20100</v>
      </c>
      <c r="I13" t="s">
        <v>148</v>
      </c>
      <c r="J13" s="13">
        <f t="shared" si="0"/>
        <v>0.66187050359712229</v>
      </c>
      <c r="K13">
        <f t="shared" si="1"/>
        <v>47</v>
      </c>
      <c r="L13" s="12">
        <f>H13-G13*Annahmen!$B$9</f>
        <v>14120</v>
      </c>
      <c r="M13">
        <f t="shared" si="2"/>
        <v>-47</v>
      </c>
      <c r="N13" t="str">
        <f>IF(D13&lt;Annahmen!$B$14,IF(J13&gt;=1,"Abgeschlossen","Überfällig"),"Im Plan")</f>
        <v>Überfällig</v>
      </c>
    </row>
    <row r="14" spans="1:14" x14ac:dyDescent="0.35">
      <c r="A14" t="s">
        <v>153</v>
      </c>
      <c r="B14" t="s">
        <v>107</v>
      </c>
      <c r="C14" s="11">
        <v>46276</v>
      </c>
      <c r="D14" s="11">
        <v>46315</v>
      </c>
      <c r="E14" t="s">
        <v>138</v>
      </c>
      <c r="F14">
        <v>176</v>
      </c>
      <c r="G14">
        <v>123</v>
      </c>
      <c r="H14" s="12">
        <v>27400</v>
      </c>
      <c r="I14" t="s">
        <v>139</v>
      </c>
      <c r="J14" s="13">
        <f t="shared" si="0"/>
        <v>0.69886363636363635</v>
      </c>
      <c r="K14">
        <f t="shared" si="1"/>
        <v>53</v>
      </c>
      <c r="L14" s="12">
        <f>H14-G14*Annahmen!$B$9</f>
        <v>19405</v>
      </c>
      <c r="M14">
        <f t="shared" si="2"/>
        <v>-53</v>
      </c>
      <c r="N14" t="str">
        <f>IF(D14&lt;Annahmen!$B$14,IF(J14&gt;=1,"Abgeschlossen","Überfällig"),"Im Plan")</f>
        <v>Im Plan</v>
      </c>
    </row>
    <row r="15" spans="1:14" x14ac:dyDescent="0.35">
      <c r="A15" t="s">
        <v>154</v>
      </c>
      <c r="B15" t="s">
        <v>111</v>
      </c>
      <c r="C15" s="11">
        <v>46298</v>
      </c>
      <c r="D15" s="11">
        <v>46338</v>
      </c>
      <c r="E15" t="s">
        <v>141</v>
      </c>
      <c r="F15">
        <v>213</v>
      </c>
      <c r="G15">
        <v>154</v>
      </c>
      <c r="H15" s="12">
        <v>34700</v>
      </c>
      <c r="I15" t="s">
        <v>142</v>
      </c>
      <c r="J15" s="13">
        <f t="shared" si="0"/>
        <v>0.72300469483568075</v>
      </c>
      <c r="K15">
        <f t="shared" si="1"/>
        <v>59</v>
      </c>
      <c r="L15" s="12">
        <f>H15-G15*Annahmen!$B$9</f>
        <v>24690</v>
      </c>
      <c r="M15">
        <f t="shared" si="2"/>
        <v>-59</v>
      </c>
      <c r="N15" t="str">
        <f>IF(D15&lt;Annahmen!$B$14,IF(J15&gt;=1,"Abgeschlossen","Überfällig"),"Im Plan")</f>
        <v>Im Plan</v>
      </c>
    </row>
    <row r="16" spans="1:14" x14ac:dyDescent="0.35">
      <c r="A16" t="s">
        <v>155</v>
      </c>
      <c r="B16" t="s">
        <v>115</v>
      </c>
      <c r="C16" s="11">
        <v>46333</v>
      </c>
      <c r="D16" s="11">
        <v>46372</v>
      </c>
      <c r="E16" t="s">
        <v>144</v>
      </c>
      <c r="F16">
        <v>250</v>
      </c>
      <c r="G16">
        <v>185</v>
      </c>
      <c r="H16" s="12">
        <v>42000</v>
      </c>
      <c r="I16" t="s">
        <v>145</v>
      </c>
      <c r="J16" s="13">
        <f t="shared" si="0"/>
        <v>0.74</v>
      </c>
      <c r="K16">
        <f t="shared" si="1"/>
        <v>65</v>
      </c>
      <c r="L16" s="12">
        <f>H16-G16*Annahmen!$B$9</f>
        <v>29975</v>
      </c>
      <c r="M16">
        <f t="shared" si="2"/>
        <v>-65</v>
      </c>
      <c r="N16" t="str">
        <f>IF(D16&lt;Annahmen!$B$14,IF(J16&gt;=1,"Abgeschlossen","Überfällig"),"Im Plan")</f>
        <v>Im Plan</v>
      </c>
    </row>
    <row r="17" spans="1:14" x14ac:dyDescent="0.35">
      <c r="A17" t="s">
        <v>156</v>
      </c>
      <c r="B17" t="s">
        <v>119</v>
      </c>
      <c r="C17" s="11">
        <v>46367</v>
      </c>
      <c r="D17" s="11">
        <v>46407</v>
      </c>
      <c r="E17" t="s">
        <v>147</v>
      </c>
      <c r="F17">
        <v>287</v>
      </c>
      <c r="G17">
        <v>216</v>
      </c>
      <c r="H17" s="12">
        <v>49300</v>
      </c>
      <c r="I17" t="s">
        <v>148</v>
      </c>
      <c r="J17" s="13">
        <f t="shared" si="0"/>
        <v>0.7526132404181185</v>
      </c>
      <c r="K17">
        <f t="shared" si="1"/>
        <v>71</v>
      </c>
      <c r="L17" s="12">
        <f>H17-G17*Annahmen!$B$9</f>
        <v>35260</v>
      </c>
      <c r="M17">
        <f t="shared" si="2"/>
        <v>-71</v>
      </c>
      <c r="N17" t="str">
        <f>IF(D17&lt;Annahmen!$B$14,IF(J17&gt;=1,"Abgeschlossen","Überfällig"),"Im Plan")</f>
        <v>Im Plan</v>
      </c>
    </row>
    <row r="18" spans="1:14" ht="21" customHeight="1" x14ac:dyDescent="0.35"/>
    <row r="19" spans="1:14" ht="21" customHeight="1" x14ac:dyDescent="0.35"/>
    <row r="20" spans="1:14" ht="21" customHeight="1" x14ac:dyDescent="0.35"/>
    <row r="21" spans="1:14" ht="21" customHeight="1" x14ac:dyDescent="0.35"/>
    <row r="22" spans="1:14" ht="21" customHeight="1" x14ac:dyDescent="0.35"/>
    <row r="23" spans="1:14" ht="21" customHeight="1" x14ac:dyDescent="0.35"/>
    <row r="24" spans="1:14" ht="21" customHeight="1" x14ac:dyDescent="0.35"/>
    <row r="25" spans="1:14" ht="21" customHeight="1" x14ac:dyDescent="0.35"/>
    <row r="26" spans="1:14" ht="21" customHeight="1" x14ac:dyDescent="0.35"/>
    <row r="27" spans="1:14" ht="21" customHeight="1" x14ac:dyDescent="0.35"/>
    <row r="28" spans="1:14" ht="21" customHeight="1" x14ac:dyDescent="0.35"/>
    <row r="29" spans="1:14" ht="21" customHeight="1" x14ac:dyDescent="0.35"/>
    <row r="30" spans="1:14" ht="21" customHeight="1" x14ac:dyDescent="0.35"/>
    <row r="31" spans="1:14" ht="21" customHeight="1" x14ac:dyDescent="0.35"/>
    <row r="32" spans="1:14" ht="21" customHeight="1" x14ac:dyDescent="0.35"/>
  </sheetData>
  <conditionalFormatting sqref="J6:J1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{4BF6E99F-59D9-47C5-867B-2D4142379297}</x14:id>
        </ext>
      </extLst>
    </cfRule>
  </conditionalFormatting>
  <pageMargins left="0.7" right="0.7" top="0.78740157499999996" bottom="0.78740157499999996" header="0.3" footer="0.3"/>
  <headerFooter>
    <oddHeader>&amp;L&amp;"Aptos"&amp;10&amp;K000000 Vertraulich&amp;1#_x000D_</oddHeader>
  </headerFooter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BF6E99F-59D9-47C5-867B-2D4142379297}">
            <x14:dataBar minLength="0" maxLength="100" negativeBarColorSameAsPositive="1" axisPosition="none">
              <x14:cfvo type="min"/>
              <x14:cfvo type="max"/>
            </x14:dataBar>
          </x14:cfRule>
          <xm:sqref>J6:J17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3BDE-779A-436D-BC63-A7365A6F1D0F}">
  <dimension ref="A1:M32"/>
  <sheetViews>
    <sheetView workbookViewId="0"/>
  </sheetViews>
  <sheetFormatPr baseColWidth="10" defaultRowHeight="14.5" x14ac:dyDescent="0.35"/>
  <cols>
    <col min="1" max="1" width="16.36328125" customWidth="1"/>
    <col min="2" max="2" width="29.08984375" customWidth="1"/>
    <col min="3" max="4" width="18.1796875" customWidth="1"/>
    <col min="5" max="6" width="17.26953125" customWidth="1"/>
    <col min="7" max="7" width="8.26953125" bestFit="1" customWidth="1"/>
    <col min="8" max="8" width="6.6328125" bestFit="1" customWidth="1"/>
    <col min="9" max="9" width="8.453125" bestFit="1" customWidth="1"/>
    <col min="10" max="10" width="8.26953125" bestFit="1" customWidth="1"/>
    <col min="11" max="11" width="11.81640625" bestFit="1" customWidth="1"/>
    <col min="12" max="12" width="12.81640625" bestFit="1" customWidth="1"/>
    <col min="13" max="13" width="8.1796875" bestFit="1" customWidth="1"/>
  </cols>
  <sheetData>
    <row r="1" spans="1:13" ht="21" customHeight="1" x14ac:dyDescent="0.35"/>
    <row r="2" spans="1:13" ht="24.5" x14ac:dyDescent="0.55000000000000004">
      <c r="B2" s="5" t="s">
        <v>157</v>
      </c>
    </row>
    <row r="3" spans="1:13" ht="27" customHeight="1" x14ac:dyDescent="0.35">
      <c r="B3" s="6" t="s">
        <v>158</v>
      </c>
    </row>
    <row r="5" spans="1:13" x14ac:dyDescent="0.35">
      <c r="A5" s="7" t="s">
        <v>159</v>
      </c>
      <c r="B5" s="7" t="s">
        <v>160</v>
      </c>
      <c r="C5" s="7" t="s">
        <v>161</v>
      </c>
      <c r="D5" s="7" t="s">
        <v>162</v>
      </c>
      <c r="E5" s="7" t="s">
        <v>125</v>
      </c>
      <c r="F5" s="7" t="s">
        <v>163</v>
      </c>
      <c r="G5" s="7" t="s">
        <v>128</v>
      </c>
      <c r="H5" s="7" t="s">
        <v>129</v>
      </c>
      <c r="I5" s="7" t="s">
        <v>164</v>
      </c>
      <c r="J5" s="7" t="s">
        <v>133</v>
      </c>
      <c r="K5" s="7" t="s">
        <v>132</v>
      </c>
      <c r="L5" s="7" t="s">
        <v>165</v>
      </c>
      <c r="M5" s="7" t="s">
        <v>166</v>
      </c>
    </row>
    <row r="6" spans="1:13" x14ac:dyDescent="0.35">
      <c r="A6" t="s">
        <v>167</v>
      </c>
      <c r="B6" t="s">
        <v>168</v>
      </c>
      <c r="C6" t="s">
        <v>169</v>
      </c>
      <c r="D6" t="s">
        <v>170</v>
      </c>
      <c r="E6" s="11">
        <v>46027</v>
      </c>
      <c r="F6" s="11">
        <v>46061</v>
      </c>
      <c r="G6">
        <v>48</v>
      </c>
      <c r="H6">
        <v>18</v>
      </c>
      <c r="I6" t="s">
        <v>171</v>
      </c>
      <c r="J6">
        <f>MAX(0,G6-H6)</f>
        <v>30</v>
      </c>
      <c r="K6" s="13">
        <f>IF(I6="Fertig",1,IFERROR(MIN(0.95,H6/G6),0))</f>
        <v>1</v>
      </c>
      <c r="L6">
        <f>IF(I6="Fertig",0,MAX(0,Annahmen!$B$14-F6))</f>
        <v>0</v>
      </c>
      <c r="M6" t="str">
        <f>"S"&amp;ROUNDUP(WEEKNUM(E6,2)/2,0)</f>
        <v>S1</v>
      </c>
    </row>
    <row r="7" spans="1:13" x14ac:dyDescent="0.35">
      <c r="A7" t="s">
        <v>172</v>
      </c>
      <c r="B7" t="s">
        <v>173</v>
      </c>
      <c r="C7" t="s">
        <v>174</v>
      </c>
      <c r="D7" t="s">
        <v>175</v>
      </c>
      <c r="E7" s="11">
        <v>46035</v>
      </c>
      <c r="F7" s="11">
        <v>46069</v>
      </c>
      <c r="G7">
        <v>67</v>
      </c>
      <c r="H7">
        <v>41</v>
      </c>
      <c r="I7" t="s">
        <v>176</v>
      </c>
      <c r="J7">
        <f t="shared" ref="J7:J21" si="0">MAX(0,G7-H7)</f>
        <v>26</v>
      </c>
      <c r="K7" s="13">
        <f t="shared" ref="K7:K21" si="1">IF(I7="Fertig",1,IFERROR(MIN(0.95,H7/G7),0))</f>
        <v>0.61194029850746268</v>
      </c>
      <c r="L7">
        <f>IF(I7="Fertig",0,MAX(0,Annahmen!$B$14-F7))</f>
        <v>235</v>
      </c>
      <c r="M7" t="str">
        <f t="shared" ref="M7:M21" si="2">"S"&amp;ROUNDUP(WEEKNUM(E7,2)/2,0)</f>
        <v>S2</v>
      </c>
    </row>
    <row r="8" spans="1:13" x14ac:dyDescent="0.35">
      <c r="A8" t="s">
        <v>177</v>
      </c>
      <c r="B8" t="s">
        <v>178</v>
      </c>
      <c r="C8" t="s">
        <v>179</v>
      </c>
      <c r="D8" t="s">
        <v>180</v>
      </c>
      <c r="E8" s="11">
        <v>46058</v>
      </c>
      <c r="F8" s="11">
        <v>46089</v>
      </c>
      <c r="G8">
        <v>86</v>
      </c>
      <c r="H8">
        <v>64</v>
      </c>
      <c r="I8" t="s">
        <v>181</v>
      </c>
      <c r="J8">
        <f t="shared" si="0"/>
        <v>22</v>
      </c>
      <c r="K8" s="13">
        <f t="shared" si="1"/>
        <v>0.7441860465116279</v>
      </c>
      <c r="L8">
        <f>IF(I8="Fertig",0,MAX(0,Annahmen!$B$14-F8))</f>
        <v>215</v>
      </c>
      <c r="M8" t="str">
        <f t="shared" si="2"/>
        <v>S3</v>
      </c>
    </row>
    <row r="9" spans="1:13" x14ac:dyDescent="0.35">
      <c r="A9" t="s">
        <v>182</v>
      </c>
      <c r="B9" t="s">
        <v>183</v>
      </c>
      <c r="C9" t="s">
        <v>184</v>
      </c>
      <c r="D9" t="s">
        <v>170</v>
      </c>
      <c r="E9" s="11">
        <v>46066</v>
      </c>
      <c r="F9" s="11">
        <v>46097</v>
      </c>
      <c r="G9">
        <v>105</v>
      </c>
      <c r="H9">
        <v>87</v>
      </c>
      <c r="I9" t="s">
        <v>176</v>
      </c>
      <c r="J9">
        <f t="shared" si="0"/>
        <v>18</v>
      </c>
      <c r="K9" s="13">
        <f t="shared" si="1"/>
        <v>0.82857142857142863</v>
      </c>
      <c r="L9">
        <f>IF(I9="Fertig",0,MAX(0,Annahmen!$B$14-F9))</f>
        <v>207</v>
      </c>
      <c r="M9" t="str">
        <f t="shared" si="2"/>
        <v>S4</v>
      </c>
    </row>
    <row r="10" spans="1:13" x14ac:dyDescent="0.35">
      <c r="A10" t="s">
        <v>185</v>
      </c>
      <c r="B10" t="s">
        <v>186</v>
      </c>
      <c r="C10" t="s">
        <v>169</v>
      </c>
      <c r="D10" t="s">
        <v>175</v>
      </c>
      <c r="E10" s="11">
        <v>46086</v>
      </c>
      <c r="F10" s="11">
        <v>46120</v>
      </c>
      <c r="G10">
        <v>124</v>
      </c>
      <c r="H10">
        <v>110</v>
      </c>
      <c r="I10" t="s">
        <v>171</v>
      </c>
      <c r="J10">
        <f t="shared" si="0"/>
        <v>14</v>
      </c>
      <c r="K10" s="13">
        <f t="shared" si="1"/>
        <v>1</v>
      </c>
      <c r="L10">
        <f>IF(I10="Fertig",0,MAX(0,Annahmen!$B$14-F10))</f>
        <v>0</v>
      </c>
      <c r="M10" t="str">
        <f t="shared" si="2"/>
        <v>S5</v>
      </c>
    </row>
    <row r="11" spans="1:13" x14ac:dyDescent="0.35">
      <c r="A11" t="s">
        <v>187</v>
      </c>
      <c r="B11" t="s">
        <v>188</v>
      </c>
      <c r="C11" t="s">
        <v>174</v>
      </c>
      <c r="D11" t="s">
        <v>180</v>
      </c>
      <c r="E11" s="11">
        <v>46094</v>
      </c>
      <c r="F11" s="11">
        <v>46128</v>
      </c>
      <c r="G11">
        <v>143</v>
      </c>
      <c r="H11">
        <v>133</v>
      </c>
      <c r="I11" t="s">
        <v>176</v>
      </c>
      <c r="J11">
        <f t="shared" si="0"/>
        <v>10</v>
      </c>
      <c r="K11" s="13">
        <f t="shared" si="1"/>
        <v>0.93006993006993011</v>
      </c>
      <c r="L11">
        <f>IF(I11="Fertig",0,MAX(0,Annahmen!$B$14-F11))</f>
        <v>176</v>
      </c>
      <c r="M11" t="str">
        <f t="shared" si="2"/>
        <v>S6</v>
      </c>
    </row>
    <row r="12" spans="1:13" x14ac:dyDescent="0.35">
      <c r="A12" t="s">
        <v>189</v>
      </c>
      <c r="B12" t="s">
        <v>190</v>
      </c>
      <c r="C12" t="s">
        <v>179</v>
      </c>
      <c r="D12" t="s">
        <v>170</v>
      </c>
      <c r="E12" s="11">
        <v>46117</v>
      </c>
      <c r="F12" s="11">
        <v>46150</v>
      </c>
      <c r="G12">
        <v>52</v>
      </c>
      <c r="H12">
        <v>31</v>
      </c>
      <c r="I12" t="s">
        <v>181</v>
      </c>
      <c r="J12">
        <f t="shared" si="0"/>
        <v>21</v>
      </c>
      <c r="K12" s="13">
        <f t="shared" si="1"/>
        <v>0.59615384615384615</v>
      </c>
      <c r="L12">
        <f>IF(I12="Fertig",0,MAX(0,Annahmen!$B$14-F12))</f>
        <v>154</v>
      </c>
      <c r="M12" t="str">
        <f t="shared" si="2"/>
        <v>S7</v>
      </c>
    </row>
    <row r="13" spans="1:13" x14ac:dyDescent="0.35">
      <c r="A13" t="s">
        <v>191</v>
      </c>
      <c r="B13" t="s">
        <v>192</v>
      </c>
      <c r="C13" t="s">
        <v>184</v>
      </c>
      <c r="D13" t="s">
        <v>175</v>
      </c>
      <c r="E13" s="11">
        <v>46125</v>
      </c>
      <c r="F13" s="11">
        <v>46158</v>
      </c>
      <c r="G13">
        <v>71</v>
      </c>
      <c r="H13">
        <v>54</v>
      </c>
      <c r="I13" t="s">
        <v>176</v>
      </c>
      <c r="J13">
        <f t="shared" si="0"/>
        <v>17</v>
      </c>
      <c r="K13" s="13">
        <f t="shared" si="1"/>
        <v>0.76056338028169013</v>
      </c>
      <c r="L13">
        <f>IF(I13="Fertig",0,MAX(0,Annahmen!$B$14-F13))</f>
        <v>146</v>
      </c>
      <c r="M13" t="str">
        <f t="shared" si="2"/>
        <v>S8</v>
      </c>
    </row>
    <row r="14" spans="1:13" x14ac:dyDescent="0.35">
      <c r="A14" t="s">
        <v>193</v>
      </c>
      <c r="B14" t="s">
        <v>194</v>
      </c>
      <c r="C14" t="s">
        <v>169</v>
      </c>
      <c r="D14" t="s">
        <v>180</v>
      </c>
      <c r="E14" s="11">
        <v>46147</v>
      </c>
      <c r="F14" s="11">
        <v>46181</v>
      </c>
      <c r="G14">
        <v>90</v>
      </c>
      <c r="H14">
        <v>77</v>
      </c>
      <c r="I14" t="s">
        <v>171</v>
      </c>
      <c r="J14">
        <f t="shared" si="0"/>
        <v>13</v>
      </c>
      <c r="K14" s="13">
        <f t="shared" si="1"/>
        <v>1</v>
      </c>
      <c r="L14">
        <f>IF(I14="Fertig",0,MAX(0,Annahmen!$B$14-F14))</f>
        <v>0</v>
      </c>
      <c r="M14" t="str">
        <f t="shared" si="2"/>
        <v>S10</v>
      </c>
    </row>
    <row r="15" spans="1:13" x14ac:dyDescent="0.35">
      <c r="A15" t="s">
        <v>195</v>
      </c>
      <c r="B15" t="s">
        <v>196</v>
      </c>
      <c r="C15" t="s">
        <v>174</v>
      </c>
      <c r="D15" t="s">
        <v>170</v>
      </c>
      <c r="E15" s="11">
        <v>46155</v>
      </c>
      <c r="F15" s="11">
        <v>46189</v>
      </c>
      <c r="G15">
        <v>109</v>
      </c>
      <c r="H15">
        <v>100</v>
      </c>
      <c r="I15" t="s">
        <v>176</v>
      </c>
      <c r="J15">
        <f t="shared" si="0"/>
        <v>9</v>
      </c>
      <c r="K15" s="13">
        <f t="shared" si="1"/>
        <v>0.91743119266055051</v>
      </c>
      <c r="L15">
        <f>IF(I15="Fertig",0,MAX(0,Annahmen!$B$14-F15))</f>
        <v>115</v>
      </c>
      <c r="M15" t="str">
        <f t="shared" si="2"/>
        <v>S10</v>
      </c>
    </row>
    <row r="16" spans="1:13" x14ac:dyDescent="0.35">
      <c r="A16" t="s">
        <v>197</v>
      </c>
      <c r="B16" t="s">
        <v>198</v>
      </c>
      <c r="C16" t="s">
        <v>179</v>
      </c>
      <c r="D16" t="s">
        <v>175</v>
      </c>
      <c r="E16" s="11">
        <v>46178</v>
      </c>
      <c r="F16" s="11">
        <v>46211</v>
      </c>
      <c r="G16">
        <v>128</v>
      </c>
      <c r="H16">
        <v>123</v>
      </c>
      <c r="I16" t="s">
        <v>181</v>
      </c>
      <c r="J16">
        <f t="shared" si="0"/>
        <v>5</v>
      </c>
      <c r="K16" s="13">
        <f t="shared" si="1"/>
        <v>0.95</v>
      </c>
      <c r="L16">
        <f>IF(I16="Fertig",0,MAX(0,Annahmen!$B$14-F16))</f>
        <v>93</v>
      </c>
      <c r="M16" t="str">
        <f t="shared" si="2"/>
        <v>S12</v>
      </c>
    </row>
    <row r="17" spans="1:13" x14ac:dyDescent="0.35">
      <c r="A17" t="s">
        <v>199</v>
      </c>
      <c r="B17" t="s">
        <v>200</v>
      </c>
      <c r="C17" t="s">
        <v>184</v>
      </c>
      <c r="D17" t="s">
        <v>180</v>
      </c>
      <c r="E17" s="11">
        <v>46186</v>
      </c>
      <c r="F17" s="11">
        <v>46219</v>
      </c>
      <c r="G17">
        <v>147</v>
      </c>
      <c r="H17">
        <v>21</v>
      </c>
      <c r="I17" t="s">
        <v>176</v>
      </c>
      <c r="J17">
        <f t="shared" si="0"/>
        <v>126</v>
      </c>
      <c r="K17" s="13">
        <f t="shared" si="1"/>
        <v>0.14285714285714285</v>
      </c>
      <c r="L17">
        <f>IF(I17="Fertig",0,MAX(0,Annahmen!$B$14-F17))</f>
        <v>85</v>
      </c>
      <c r="M17" t="str">
        <f t="shared" si="2"/>
        <v>S12</v>
      </c>
    </row>
    <row r="18" spans="1:13" x14ac:dyDescent="0.35">
      <c r="A18" t="s">
        <v>201</v>
      </c>
      <c r="B18" t="s">
        <v>202</v>
      </c>
      <c r="C18" t="s">
        <v>169</v>
      </c>
      <c r="D18" t="s">
        <v>170</v>
      </c>
      <c r="E18" s="11">
        <v>46208</v>
      </c>
      <c r="F18" s="11">
        <v>46242</v>
      </c>
      <c r="G18">
        <v>56</v>
      </c>
      <c r="H18">
        <v>44</v>
      </c>
      <c r="I18" t="s">
        <v>171</v>
      </c>
      <c r="J18">
        <f t="shared" si="0"/>
        <v>12</v>
      </c>
      <c r="K18" s="13">
        <f t="shared" si="1"/>
        <v>1</v>
      </c>
      <c r="L18">
        <f>IF(I18="Fertig",0,MAX(0,Annahmen!$B$14-F18))</f>
        <v>0</v>
      </c>
      <c r="M18" t="str">
        <f t="shared" si="2"/>
        <v>S14</v>
      </c>
    </row>
    <row r="19" spans="1:13" x14ac:dyDescent="0.35">
      <c r="A19" t="s">
        <v>203</v>
      </c>
      <c r="B19" t="s">
        <v>204</v>
      </c>
      <c r="C19" t="s">
        <v>174</v>
      </c>
      <c r="D19" t="s">
        <v>175</v>
      </c>
      <c r="E19" s="11">
        <v>46216</v>
      </c>
      <c r="F19" s="11">
        <v>46250</v>
      </c>
      <c r="G19">
        <v>75</v>
      </c>
      <c r="H19">
        <v>67</v>
      </c>
      <c r="I19" t="s">
        <v>176</v>
      </c>
      <c r="J19">
        <f t="shared" si="0"/>
        <v>8</v>
      </c>
      <c r="K19" s="13">
        <f t="shared" si="1"/>
        <v>0.89333333333333331</v>
      </c>
      <c r="L19">
        <f>IF(I19="Fertig",0,MAX(0,Annahmen!$B$14-F19))</f>
        <v>54</v>
      </c>
      <c r="M19" t="str">
        <f t="shared" si="2"/>
        <v>S15</v>
      </c>
    </row>
    <row r="20" spans="1:13" x14ac:dyDescent="0.35">
      <c r="A20" t="s">
        <v>205</v>
      </c>
      <c r="B20" t="s">
        <v>206</v>
      </c>
      <c r="C20" t="s">
        <v>179</v>
      </c>
      <c r="D20" t="s">
        <v>180</v>
      </c>
      <c r="E20" s="11">
        <v>46239</v>
      </c>
      <c r="F20" s="11">
        <v>46273</v>
      </c>
      <c r="G20">
        <v>94</v>
      </c>
      <c r="H20">
        <v>90</v>
      </c>
      <c r="I20" t="s">
        <v>181</v>
      </c>
      <c r="J20">
        <f t="shared" si="0"/>
        <v>4</v>
      </c>
      <c r="K20" s="13">
        <f t="shared" si="1"/>
        <v>0.95</v>
      </c>
      <c r="L20">
        <f>IF(I20="Fertig",0,MAX(0,Annahmen!$B$14-F20))</f>
        <v>31</v>
      </c>
      <c r="M20" t="str">
        <f t="shared" si="2"/>
        <v>S16</v>
      </c>
    </row>
    <row r="21" spans="1:13" x14ac:dyDescent="0.35">
      <c r="A21" t="s">
        <v>207</v>
      </c>
      <c r="B21" t="s">
        <v>208</v>
      </c>
      <c r="C21" t="s">
        <v>184</v>
      </c>
      <c r="D21" t="s">
        <v>170</v>
      </c>
      <c r="E21" s="11">
        <v>46247</v>
      </c>
      <c r="F21" s="11">
        <v>46281</v>
      </c>
      <c r="G21">
        <v>113</v>
      </c>
      <c r="H21">
        <v>113</v>
      </c>
      <c r="I21" t="s">
        <v>176</v>
      </c>
      <c r="J21">
        <f t="shared" si="0"/>
        <v>0</v>
      </c>
      <c r="K21" s="13">
        <f t="shared" si="1"/>
        <v>0.95</v>
      </c>
      <c r="L21">
        <f>IF(I21="Fertig",0,MAX(0,Annahmen!$B$14-F21))</f>
        <v>23</v>
      </c>
      <c r="M21" t="str">
        <f t="shared" si="2"/>
        <v>S17</v>
      </c>
    </row>
    <row r="22" spans="1:13" ht="21" customHeight="1" x14ac:dyDescent="0.35"/>
    <row r="23" spans="1:13" ht="21" customHeight="1" x14ac:dyDescent="0.35"/>
    <row r="24" spans="1:13" ht="21" customHeight="1" x14ac:dyDescent="0.35"/>
    <row r="25" spans="1:13" ht="21" customHeight="1" x14ac:dyDescent="0.35"/>
    <row r="26" spans="1:13" ht="21" customHeight="1" x14ac:dyDescent="0.35"/>
    <row r="27" spans="1:13" ht="21" customHeight="1" x14ac:dyDescent="0.35"/>
    <row r="28" spans="1:13" ht="21" customHeight="1" x14ac:dyDescent="0.35"/>
    <row r="29" spans="1:13" ht="21" customHeight="1" x14ac:dyDescent="0.35"/>
    <row r="30" spans="1:13" ht="21" customHeight="1" x14ac:dyDescent="0.35"/>
    <row r="31" spans="1:13" ht="21" customHeight="1" x14ac:dyDescent="0.35"/>
    <row r="32" spans="1:13" ht="21" customHeight="1" x14ac:dyDescent="0.35"/>
  </sheetData>
  <conditionalFormatting sqref="K6:K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{6814A1DD-5E70-49BE-A96B-532DDC3CB203}</x14:id>
        </ext>
      </extLst>
    </cfRule>
  </conditionalFormatting>
  <pageMargins left="0.7" right="0.7" top="0.78740157499999996" bottom="0.78740157499999996" header="0.3" footer="0.3"/>
  <headerFooter>
    <oddHeader>&amp;L&amp;"Aptos"&amp;10&amp;K000000 Vertraulich&amp;1#_x000D_</oddHeader>
  </headerFooter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14A1DD-5E70-49BE-A96B-532DDC3CB203}">
            <x14:dataBar minLength="0" maxLength="100" negativeBarColorSameAsPositive="1" axisPosition="none">
              <x14:cfvo type="min"/>
              <x14:cfvo type="max"/>
            </x14:dataBar>
          </x14:cfRule>
          <xm:sqref>K6:K21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FD25-2C99-415A-9EE7-09E5BB0507E8}">
  <dimension ref="A1:M32"/>
  <sheetViews>
    <sheetView workbookViewId="0"/>
  </sheetViews>
  <sheetFormatPr baseColWidth="10" defaultRowHeight="14.5" x14ac:dyDescent="0.35"/>
  <cols>
    <col min="1" max="2" width="20.90625" customWidth="1"/>
    <col min="3" max="12" width="21.81640625" customWidth="1"/>
    <col min="13" max="13" width="19.08984375" customWidth="1"/>
  </cols>
  <sheetData>
    <row r="1" spans="1:13" ht="21" customHeight="1" x14ac:dyDescent="0.35"/>
    <row r="2" spans="1:13" ht="24.5" x14ac:dyDescent="0.55000000000000004">
      <c r="B2" s="5" t="s">
        <v>209</v>
      </c>
    </row>
    <row r="3" spans="1:13" ht="27" customHeight="1" x14ac:dyDescent="0.35">
      <c r="B3" s="6" t="s">
        <v>210</v>
      </c>
    </row>
    <row r="5" spans="1:13" x14ac:dyDescent="0.35">
      <c r="A5" s="7" t="s">
        <v>211</v>
      </c>
      <c r="B5" s="7" t="s">
        <v>212</v>
      </c>
      <c r="C5" s="7" t="s">
        <v>213</v>
      </c>
      <c r="D5" s="7" t="s">
        <v>214</v>
      </c>
      <c r="E5" s="7" t="s">
        <v>215</v>
      </c>
      <c r="F5" s="7" t="s">
        <v>216</v>
      </c>
      <c r="G5" s="7" t="s">
        <v>217</v>
      </c>
      <c r="H5" s="7" t="s">
        <v>218</v>
      </c>
      <c r="I5" s="7" t="s">
        <v>219</v>
      </c>
      <c r="J5" s="7" t="s">
        <v>220</v>
      </c>
      <c r="K5" s="7" t="s">
        <v>221</v>
      </c>
      <c r="L5" s="7" t="s">
        <v>222</v>
      </c>
      <c r="M5" s="7" t="s">
        <v>223</v>
      </c>
    </row>
    <row r="6" spans="1:13" x14ac:dyDescent="0.35">
      <c r="A6" s="14">
        <v>46023</v>
      </c>
      <c r="B6">
        <f>SUMIFS(Sales!$G$6:$G$29,Sales!$F$6:$F$29,"Gewonnen",Sales!$E$6:$E$29,"&lt;="&amp;EOMONTH(A6,0))</f>
        <v>18</v>
      </c>
      <c r="C6" s="12">
        <f>D6*12</f>
        <v>27864</v>
      </c>
      <c r="D6" s="12">
        <f>SUMIFS(Sales!$K$6:$K$29,Sales!$F$6:$F$29,"Gewonnen",Sales!$E$6:$E$29,"&lt;="&amp;EOMONTH(A6,0))</f>
        <v>2322</v>
      </c>
      <c r="E6" s="12">
        <f>SUMIFS(Kundenprojekte!$H$6:$H$17,Kundenprojekte!$D$6:$D$17,"&gt;="&amp;A6,Kundenprojekte!$D$6:$D$17,"&lt;="&amp;EOMONTH(A6,0))</f>
        <v>0</v>
      </c>
      <c r="F6" s="12">
        <f>SUM(D6:E6)</f>
        <v>2322</v>
      </c>
      <c r="G6" s="12">
        <f>B6*Annahmen!$B$8</f>
        <v>126</v>
      </c>
      <c r="H6" s="12">
        <f>Annahmen!$B$7</f>
        <v>32000</v>
      </c>
      <c r="I6" s="12" cm="1">
        <f t="array" ref="I6">SUMPRODUCT((Kundenprojekte!$D$6:$D$17&gt;=A6)*(Kundenprojekte!$D$6:$D$17&lt;=EOMONTH(A6,0))*Kundenprojekte!$G$6:$G$17)*Annahmen!$B$9</f>
        <v>0</v>
      </c>
      <c r="J6" s="12">
        <f>SUM(G6:I6)</f>
        <v>32126</v>
      </c>
      <c r="K6" s="12">
        <f>F6-J6</f>
        <v>-29804</v>
      </c>
      <c r="L6" s="12">
        <f>IF(ROW()=6,Annahmen!$B$6+K6,L5+K6)</f>
        <v>220196</v>
      </c>
      <c r="M6" s="15">
        <f>IFERROR(K6/F6,0)</f>
        <v>-12.835486649440139</v>
      </c>
    </row>
    <row r="7" spans="1:13" x14ac:dyDescent="0.35">
      <c r="A7" s="14">
        <v>46054</v>
      </c>
      <c r="B7">
        <f>SUMIFS(Sales!$G$6:$G$29,Sales!$F$6:$F$29,"Gewonnen",Sales!$E$6:$E$29,"&lt;="&amp;EOMONTH(A7,0))</f>
        <v>18</v>
      </c>
      <c r="C7" s="12">
        <f t="shared" ref="C7:C17" si="0">D7*12</f>
        <v>27864</v>
      </c>
      <c r="D7" s="12">
        <f>SUMIFS(Sales!$K$6:$K$29,Sales!$F$6:$F$29,"Gewonnen",Sales!$E$6:$E$29,"&lt;="&amp;EOMONTH(A7,0))</f>
        <v>2322</v>
      </c>
      <c r="E7" s="12">
        <f>SUMIFS(Kundenprojekte!$H$6:$H$17,Kundenprojekte!$D$6:$D$17,"&gt;="&amp;A7,Kundenprojekte!$D$6:$D$17,"&lt;="&amp;EOMONTH(A7,0))</f>
        <v>18000</v>
      </c>
      <c r="F7" s="12">
        <f t="shared" ref="F7:F17" si="1">SUM(D7:E7)</f>
        <v>20322</v>
      </c>
      <c r="G7" s="12">
        <f>B7*Annahmen!$B$8</f>
        <v>126</v>
      </c>
      <c r="H7" s="12">
        <f>Annahmen!$B$7</f>
        <v>32000</v>
      </c>
      <c r="I7" s="12" cm="1">
        <f t="array" ref="I7">SUMPRODUCT((Kundenprojekte!$D$6:$D$17&gt;=A7)*(Kundenprojekte!$D$6:$D$17&lt;=EOMONTH(A7,0))*Kundenprojekte!$G$6:$G$17)*Annahmen!$B$9</f>
        <v>5525</v>
      </c>
      <c r="J7" s="12">
        <f t="shared" ref="J7:J18" si="2">SUM(G7:I7)</f>
        <v>37651</v>
      </c>
      <c r="K7" s="12">
        <f t="shared" ref="K7:K18" si="3">F7-J7</f>
        <v>-17329</v>
      </c>
      <c r="L7" s="12">
        <f>IF(ROW()=6,Annahmen!$B$6+K7,L6+K7)</f>
        <v>202867</v>
      </c>
      <c r="M7" s="15">
        <f t="shared" ref="M7:M18" si="4">IFERROR(K7/F7,0)</f>
        <v>-0.85272118885936421</v>
      </c>
    </row>
    <row r="8" spans="1:13" x14ac:dyDescent="0.35">
      <c r="A8" s="14">
        <v>46082</v>
      </c>
      <c r="B8">
        <f>SUMIFS(Sales!$G$6:$G$29,Sales!$F$6:$F$29,"Gewonnen",Sales!$E$6:$E$29,"&lt;="&amp;EOMONTH(A8,0))</f>
        <v>62</v>
      </c>
      <c r="C8" s="12">
        <f t="shared" si="0"/>
        <v>95976</v>
      </c>
      <c r="D8" s="12">
        <f>SUMIFS(Sales!$K$6:$K$29,Sales!$F$6:$F$29,"Gewonnen",Sales!$E$6:$E$29,"&lt;="&amp;EOMONTH(A8,0))</f>
        <v>7998</v>
      </c>
      <c r="E8" s="12">
        <f>SUMIFS(Kundenprojekte!$H$6:$H$17,Kundenprojekte!$D$6:$D$17,"&gt;="&amp;A8,Kundenprojekte!$D$6:$D$17,"&lt;="&amp;EOMONTH(A8,0))</f>
        <v>25300</v>
      </c>
      <c r="F8" s="12">
        <f t="shared" si="1"/>
        <v>33298</v>
      </c>
      <c r="G8" s="12">
        <f>B8*Annahmen!$B$8</f>
        <v>434</v>
      </c>
      <c r="H8" s="12">
        <f>Annahmen!$B$7</f>
        <v>32000</v>
      </c>
      <c r="I8" s="12" cm="1">
        <f t="array" ref="I8">SUMPRODUCT((Kundenprojekte!$D$6:$D$17&gt;=A8)*(Kundenprojekte!$D$6:$D$17&lt;=EOMONTH(A8,0))*Kundenprojekte!$G$6:$G$17)*Annahmen!$B$9</f>
        <v>7540</v>
      </c>
      <c r="J8" s="12">
        <f t="shared" si="2"/>
        <v>39974</v>
      </c>
      <c r="K8" s="12">
        <f t="shared" si="3"/>
        <v>-6676</v>
      </c>
      <c r="L8" s="12">
        <f>IF(ROW()=6,Annahmen!$B$6+K8,L7+K8)</f>
        <v>196191</v>
      </c>
      <c r="M8" s="15">
        <f t="shared" si="4"/>
        <v>-0.20049252207339779</v>
      </c>
    </row>
    <row r="9" spans="1:13" x14ac:dyDescent="0.35">
      <c r="A9" s="14">
        <v>46113</v>
      </c>
      <c r="B9">
        <f>SUMIFS(Sales!$G$6:$G$29,Sales!$F$6:$F$29,"Gewonnen",Sales!$E$6:$E$29,"&lt;="&amp;EOMONTH(A9,0))</f>
        <v>62</v>
      </c>
      <c r="C9" s="12">
        <f t="shared" si="0"/>
        <v>95976</v>
      </c>
      <c r="D9" s="12">
        <f>SUMIFS(Sales!$K$6:$K$29,Sales!$F$6:$F$29,"Gewonnen",Sales!$E$6:$E$29,"&lt;="&amp;EOMONTH(A9,0))</f>
        <v>7998</v>
      </c>
      <c r="E9" s="12">
        <f>SUMIFS(Kundenprojekte!$H$6:$H$17,Kundenprojekte!$D$6:$D$17,"&gt;="&amp;A9,Kundenprojekte!$D$6:$D$17,"&lt;="&amp;EOMONTH(A9,0))</f>
        <v>32600</v>
      </c>
      <c r="F9" s="12">
        <f t="shared" si="1"/>
        <v>40598</v>
      </c>
      <c r="G9" s="12">
        <f>B9*Annahmen!$B$8</f>
        <v>434</v>
      </c>
      <c r="H9" s="12">
        <f>Annahmen!$B$7</f>
        <v>32000</v>
      </c>
      <c r="I9" s="12" cm="1">
        <f t="array" ref="I9">SUMPRODUCT((Kundenprojekte!$D$6:$D$17&gt;=A9)*(Kundenprojekte!$D$6:$D$17&lt;=EOMONTH(A9,0))*Kundenprojekte!$G$6:$G$17)*Annahmen!$B$9</f>
        <v>9555</v>
      </c>
      <c r="J9" s="12">
        <f t="shared" si="2"/>
        <v>41989</v>
      </c>
      <c r="K9" s="12">
        <f t="shared" si="3"/>
        <v>-1391</v>
      </c>
      <c r="L9" s="12">
        <f>IF(ROW()=6,Annahmen!$B$6+K9,L8+K9)</f>
        <v>194800</v>
      </c>
      <c r="M9" s="15">
        <f t="shared" si="4"/>
        <v>-3.4262771565101727E-2</v>
      </c>
    </row>
    <row r="10" spans="1:13" x14ac:dyDescent="0.35">
      <c r="A10" s="14">
        <v>46143</v>
      </c>
      <c r="B10">
        <f>SUMIFS(Sales!$G$6:$G$29,Sales!$F$6:$F$29,"Gewonnen",Sales!$E$6:$E$29,"&lt;="&amp;EOMONTH(A10,0))</f>
        <v>62</v>
      </c>
      <c r="C10" s="12">
        <f t="shared" si="0"/>
        <v>95976</v>
      </c>
      <c r="D10" s="12">
        <f>SUMIFS(Sales!$K$6:$K$29,Sales!$F$6:$F$29,"Gewonnen",Sales!$E$6:$E$29,"&lt;="&amp;EOMONTH(A10,0))</f>
        <v>7998</v>
      </c>
      <c r="E10" s="12">
        <f>SUMIFS(Kundenprojekte!$H$6:$H$17,Kundenprojekte!$D$6:$D$17,"&gt;="&amp;A10,Kundenprojekte!$D$6:$D$17,"&lt;="&amp;EOMONTH(A10,0))</f>
        <v>39900</v>
      </c>
      <c r="F10" s="12">
        <f t="shared" si="1"/>
        <v>47898</v>
      </c>
      <c r="G10" s="12">
        <f>B10*Annahmen!$B$8</f>
        <v>434</v>
      </c>
      <c r="H10" s="12">
        <f>Annahmen!$B$7</f>
        <v>32000</v>
      </c>
      <c r="I10" s="12" cm="1">
        <f t="array" ref="I10">SUMPRODUCT((Kundenprojekte!$D$6:$D$17&gt;=A10)*(Kundenprojekte!$D$6:$D$17&lt;=EOMONTH(A10,0))*Kundenprojekte!$G$6:$G$17)*Annahmen!$B$9</f>
        <v>11570</v>
      </c>
      <c r="J10" s="12">
        <f t="shared" si="2"/>
        <v>44004</v>
      </c>
      <c r="K10" s="12">
        <f t="shared" si="3"/>
        <v>3894</v>
      </c>
      <c r="L10" s="12">
        <f>IF(ROW()=6,Annahmen!$B$6+K10,L9+K10)</f>
        <v>198694</v>
      </c>
      <c r="M10" s="15">
        <f t="shared" si="4"/>
        <v>8.129775773518727E-2</v>
      </c>
    </row>
    <row r="11" spans="1:13" x14ac:dyDescent="0.35">
      <c r="A11" s="14">
        <v>46174</v>
      </c>
      <c r="B11">
        <f>SUMIFS(Sales!$G$6:$G$29,Sales!$F$6:$F$29,"Gewonnen",Sales!$E$6:$E$29,"&lt;="&amp;EOMONTH(A11,0))</f>
        <v>228</v>
      </c>
      <c r="C11" s="12">
        <f t="shared" si="0"/>
        <v>412704</v>
      </c>
      <c r="D11" s="12">
        <f>SUMIFS(Sales!$K$6:$K$29,Sales!$F$6:$F$29,"Gewonnen",Sales!$E$6:$E$29,"&lt;="&amp;EOMONTH(A11,0))</f>
        <v>34392</v>
      </c>
      <c r="E11" s="12">
        <f>SUMIFS(Kundenprojekte!$H$6:$H$17,Kundenprojekte!$D$6:$D$17,"&gt;="&amp;A11,Kundenprojekte!$D$6:$D$17,"&lt;="&amp;EOMONTH(A11,0))</f>
        <v>47200</v>
      </c>
      <c r="F11" s="12">
        <f t="shared" si="1"/>
        <v>81592</v>
      </c>
      <c r="G11" s="12">
        <f>B11*Annahmen!$B$8</f>
        <v>1596</v>
      </c>
      <c r="H11" s="12">
        <f>Annahmen!$B$7</f>
        <v>32000</v>
      </c>
      <c r="I11" s="12" cm="1">
        <f t="array" ref="I11">SUMPRODUCT((Kundenprojekte!$D$6:$D$17&gt;=A11)*(Kundenprojekte!$D$6:$D$17&lt;=EOMONTH(A11,0))*Kundenprojekte!$G$6:$G$17)*Annahmen!$B$9</f>
        <v>13585</v>
      </c>
      <c r="J11" s="12">
        <f t="shared" si="2"/>
        <v>47181</v>
      </c>
      <c r="K11" s="12">
        <f t="shared" si="3"/>
        <v>34411</v>
      </c>
      <c r="L11" s="12">
        <f>IF(ROW()=6,Annahmen!$B$6+K11,L10+K11)</f>
        <v>233105</v>
      </c>
      <c r="M11" s="15">
        <f t="shared" si="4"/>
        <v>0.42174477889989215</v>
      </c>
    </row>
    <row r="12" spans="1:13" x14ac:dyDescent="0.35">
      <c r="A12" s="14">
        <v>46204</v>
      </c>
      <c r="B12">
        <f>SUMIFS(Sales!$G$6:$G$29,Sales!$F$6:$F$29,"Gewonnen",Sales!$E$6:$E$29,"&lt;="&amp;EOMONTH(A12,0))</f>
        <v>228</v>
      </c>
      <c r="C12" s="12">
        <f t="shared" si="0"/>
        <v>412704</v>
      </c>
      <c r="D12" s="12">
        <f>SUMIFS(Sales!$K$6:$K$29,Sales!$F$6:$F$29,"Gewonnen",Sales!$E$6:$E$29,"&lt;="&amp;EOMONTH(A12,0))</f>
        <v>34392</v>
      </c>
      <c r="E12" s="12">
        <f>SUMIFS(Kundenprojekte!$H$6:$H$17,Kundenprojekte!$D$6:$D$17,"&gt;="&amp;A12,Kundenprojekte!$D$6:$D$17,"&lt;="&amp;EOMONTH(A12,0))</f>
        <v>54500</v>
      </c>
      <c r="F12" s="12">
        <f t="shared" si="1"/>
        <v>88892</v>
      </c>
      <c r="G12" s="12">
        <f>B12*Annahmen!$B$8</f>
        <v>1596</v>
      </c>
      <c r="H12" s="12">
        <f>Annahmen!$B$7</f>
        <v>32000</v>
      </c>
      <c r="I12" s="12" cm="1">
        <f t="array" ref="I12">SUMPRODUCT((Kundenprojekte!$D$6:$D$17&gt;=A12)*(Kundenprojekte!$D$6:$D$17&lt;=EOMONTH(A12,0))*Kundenprojekte!$G$6:$G$17)*Annahmen!$B$9</f>
        <v>15600</v>
      </c>
      <c r="J12" s="12">
        <f t="shared" si="2"/>
        <v>49196</v>
      </c>
      <c r="K12" s="12">
        <f t="shared" si="3"/>
        <v>39696</v>
      </c>
      <c r="L12" s="12">
        <f>IF(ROW()=6,Annahmen!$B$6+K12,L11+K12)</f>
        <v>272801</v>
      </c>
      <c r="M12" s="15">
        <f t="shared" si="4"/>
        <v>0.44656437024704138</v>
      </c>
    </row>
    <row r="13" spans="1:13" x14ac:dyDescent="0.35">
      <c r="A13" s="14">
        <v>46235</v>
      </c>
      <c r="B13">
        <f>SUMIFS(Sales!$G$6:$G$29,Sales!$F$6:$F$29,"Gewonnen",Sales!$E$6:$E$29,"&lt;="&amp;EOMONTH(A13,0))</f>
        <v>228</v>
      </c>
      <c r="C13" s="12">
        <f t="shared" si="0"/>
        <v>412704</v>
      </c>
      <c r="D13" s="12">
        <f>SUMIFS(Sales!$K$6:$K$29,Sales!$F$6:$F$29,"Gewonnen",Sales!$E$6:$E$29,"&lt;="&amp;EOMONTH(A13,0))</f>
        <v>34392</v>
      </c>
      <c r="E13" s="12">
        <f>SUMIFS(Kundenprojekte!$H$6:$H$17,Kundenprojekte!$D$6:$D$17,"&gt;="&amp;A13,Kundenprojekte!$D$6:$D$17,"&lt;="&amp;EOMONTH(A13,0))</f>
        <v>61800</v>
      </c>
      <c r="F13" s="12">
        <f t="shared" si="1"/>
        <v>96192</v>
      </c>
      <c r="G13" s="12">
        <f>B13*Annahmen!$B$8</f>
        <v>1596</v>
      </c>
      <c r="H13" s="12">
        <f>Annahmen!$B$7</f>
        <v>32000</v>
      </c>
      <c r="I13" s="12" cm="1">
        <f t="array" ref="I13">SUMPRODUCT((Kundenprojekte!$D$6:$D$17&gt;=A13)*(Kundenprojekte!$D$6:$D$17&lt;=EOMONTH(A13,0))*Kundenprojekte!$G$6:$G$17)*Annahmen!$B$9</f>
        <v>17615</v>
      </c>
      <c r="J13" s="12">
        <f t="shared" si="2"/>
        <v>51211</v>
      </c>
      <c r="K13" s="12">
        <f t="shared" si="3"/>
        <v>44981</v>
      </c>
      <c r="L13" s="12">
        <f>IF(ROW()=6,Annahmen!$B$6+K13,L12+K13)</f>
        <v>317782</v>
      </c>
      <c r="M13" s="15">
        <f t="shared" si="4"/>
        <v>0.46761684963406519</v>
      </c>
    </row>
    <row r="14" spans="1:13" x14ac:dyDescent="0.35">
      <c r="A14" s="14">
        <v>46266</v>
      </c>
      <c r="B14">
        <f>SUMIFS(Sales!$G$6:$G$29,Sales!$F$6:$F$29,"Gewonnen",Sales!$E$6:$E$29,"&lt;="&amp;EOMONTH(A14,0))</f>
        <v>316</v>
      </c>
      <c r="C14" s="12">
        <f t="shared" si="0"/>
        <v>522528</v>
      </c>
      <c r="D14" s="12">
        <f>SUMIFS(Sales!$K$6:$K$29,Sales!$F$6:$F$29,"Gewonnen",Sales!$E$6:$E$29,"&lt;="&amp;EOMONTH(A14,0))</f>
        <v>43544</v>
      </c>
      <c r="E14" s="12">
        <f>SUMIFS(Kundenprojekte!$H$6:$H$17,Kundenprojekte!$D$6:$D$17,"&gt;="&amp;A14,Kundenprojekte!$D$6:$D$17,"&lt;="&amp;EOMONTH(A14,0))</f>
        <v>20100</v>
      </c>
      <c r="F14" s="12">
        <f t="shared" si="1"/>
        <v>63644</v>
      </c>
      <c r="G14" s="12">
        <f>B14*Annahmen!$B$8</f>
        <v>2212</v>
      </c>
      <c r="H14" s="12">
        <f>Annahmen!$B$7</f>
        <v>32000</v>
      </c>
      <c r="I14" s="12" cm="1">
        <f t="array" ref="I14">SUMPRODUCT((Kundenprojekte!$D$6:$D$17&gt;=A14)*(Kundenprojekte!$D$6:$D$17&lt;=EOMONTH(A14,0))*Kundenprojekte!$G$6:$G$17)*Annahmen!$B$9</f>
        <v>5980</v>
      </c>
      <c r="J14" s="12">
        <f t="shared" si="2"/>
        <v>40192</v>
      </c>
      <c r="K14" s="12">
        <f t="shared" si="3"/>
        <v>23452</v>
      </c>
      <c r="L14" s="12">
        <f>IF(ROW()=6,Annahmen!$B$6+K14,L13+K14)</f>
        <v>341234</v>
      </c>
      <c r="M14" s="15">
        <f t="shared" si="4"/>
        <v>0.36848721010621582</v>
      </c>
    </row>
    <row r="15" spans="1:13" x14ac:dyDescent="0.35">
      <c r="A15" s="14">
        <v>46296</v>
      </c>
      <c r="B15">
        <f>SUMIFS(Sales!$G$6:$G$29,Sales!$F$6:$F$29,"Gewonnen",Sales!$E$6:$E$29,"&lt;="&amp;EOMONTH(A15,0))</f>
        <v>316</v>
      </c>
      <c r="C15" s="12">
        <f t="shared" si="0"/>
        <v>522528</v>
      </c>
      <c r="D15" s="12">
        <f>SUMIFS(Sales!$K$6:$K$29,Sales!$F$6:$F$29,"Gewonnen",Sales!$E$6:$E$29,"&lt;="&amp;EOMONTH(A15,0))</f>
        <v>43544</v>
      </c>
      <c r="E15" s="12">
        <f>SUMIFS(Kundenprojekte!$H$6:$H$17,Kundenprojekte!$D$6:$D$17,"&gt;="&amp;A15,Kundenprojekte!$D$6:$D$17,"&lt;="&amp;EOMONTH(A15,0))</f>
        <v>27400</v>
      </c>
      <c r="F15" s="12">
        <f t="shared" si="1"/>
        <v>70944</v>
      </c>
      <c r="G15" s="12">
        <f>B15*Annahmen!$B$8</f>
        <v>2212</v>
      </c>
      <c r="H15" s="12">
        <f>Annahmen!$B$7</f>
        <v>32000</v>
      </c>
      <c r="I15" s="12" cm="1">
        <f t="array" ref="I15">SUMPRODUCT((Kundenprojekte!$D$6:$D$17&gt;=A15)*(Kundenprojekte!$D$6:$D$17&lt;=EOMONTH(A15,0))*Kundenprojekte!$G$6:$G$17)*Annahmen!$B$9</f>
        <v>7995</v>
      </c>
      <c r="J15" s="12">
        <f t="shared" si="2"/>
        <v>42207</v>
      </c>
      <c r="K15" s="12">
        <f t="shared" si="3"/>
        <v>28737</v>
      </c>
      <c r="L15" s="12">
        <f>IF(ROW()=6,Annahmen!$B$6+K15,L14+K15)</f>
        <v>369971</v>
      </c>
      <c r="M15" s="15">
        <f t="shared" si="4"/>
        <v>0.40506596752368063</v>
      </c>
    </row>
    <row r="16" spans="1:13" x14ac:dyDescent="0.35">
      <c r="A16" s="14">
        <v>46327</v>
      </c>
      <c r="B16">
        <f>SUMIFS(Sales!$G$6:$G$29,Sales!$F$6:$F$29,"Gewonnen",Sales!$E$6:$E$29,"&lt;="&amp;EOMONTH(A16,0))</f>
        <v>386</v>
      </c>
      <c r="C16" s="12">
        <f t="shared" si="0"/>
        <v>630888</v>
      </c>
      <c r="D16" s="12">
        <f>SUMIFS(Sales!$K$6:$K$29,Sales!$F$6:$F$29,"Gewonnen",Sales!$E$6:$E$29,"&lt;="&amp;EOMONTH(A16,0))</f>
        <v>52574</v>
      </c>
      <c r="E16" s="12">
        <f>SUMIFS(Kundenprojekte!$H$6:$H$17,Kundenprojekte!$D$6:$D$17,"&gt;="&amp;A16,Kundenprojekte!$D$6:$D$17,"&lt;="&amp;EOMONTH(A16,0))</f>
        <v>34700</v>
      </c>
      <c r="F16" s="12">
        <f t="shared" si="1"/>
        <v>87274</v>
      </c>
      <c r="G16" s="12">
        <f>B16*Annahmen!$B$8</f>
        <v>2702</v>
      </c>
      <c r="H16" s="12">
        <f>Annahmen!$B$7</f>
        <v>32000</v>
      </c>
      <c r="I16" s="12" cm="1">
        <f t="array" ref="I16">SUMPRODUCT((Kundenprojekte!$D$6:$D$17&gt;=A16)*(Kundenprojekte!$D$6:$D$17&lt;=EOMONTH(A16,0))*Kundenprojekte!$G$6:$G$17)*Annahmen!$B$9</f>
        <v>10010</v>
      </c>
      <c r="J16" s="12">
        <f t="shared" si="2"/>
        <v>44712</v>
      </c>
      <c r="K16" s="12">
        <f t="shared" si="3"/>
        <v>42562</v>
      </c>
      <c r="L16" s="12">
        <f>IF(ROW()=6,Annahmen!$B$6+K16,L15+K16)</f>
        <v>412533</v>
      </c>
      <c r="M16" s="15">
        <f t="shared" si="4"/>
        <v>0.48768247129729358</v>
      </c>
    </row>
    <row r="17" spans="1:13" x14ac:dyDescent="0.35">
      <c r="A17" s="14">
        <v>46357</v>
      </c>
      <c r="B17">
        <f>SUMIFS(Sales!$G$6:$G$29,Sales!$F$6:$F$29,"Gewonnen",Sales!$E$6:$E$29,"&lt;="&amp;EOMONTH(A17,0))</f>
        <v>469</v>
      </c>
      <c r="C17" s="12">
        <f t="shared" si="0"/>
        <v>819132</v>
      </c>
      <c r="D17" s="12">
        <f>SUMIFS(Sales!$K$6:$K$29,Sales!$F$6:$F$29,"Gewonnen",Sales!$E$6:$E$29,"&lt;="&amp;EOMONTH(A17,0))</f>
        <v>68261</v>
      </c>
      <c r="E17" s="12">
        <f>SUMIFS(Kundenprojekte!$H$6:$H$17,Kundenprojekte!$D$6:$D$17,"&gt;="&amp;A17,Kundenprojekte!$D$6:$D$17,"&lt;="&amp;EOMONTH(A17,0))</f>
        <v>42000</v>
      </c>
      <c r="F17" s="12">
        <f t="shared" si="1"/>
        <v>110261</v>
      </c>
      <c r="G17" s="12">
        <f>B17*Annahmen!$B$8</f>
        <v>3283</v>
      </c>
      <c r="H17" s="12">
        <f>Annahmen!$B$7</f>
        <v>32000</v>
      </c>
      <c r="I17" s="12" cm="1">
        <f t="array" ref="I17">SUMPRODUCT((Kundenprojekte!$D$6:$D$17&gt;=A17)*(Kundenprojekte!$D$6:$D$17&lt;=EOMONTH(A17,0))*Kundenprojekte!$G$6:$G$17)*Annahmen!$B$9</f>
        <v>12025</v>
      </c>
      <c r="J17" s="12">
        <f t="shared" si="2"/>
        <v>47308</v>
      </c>
      <c r="K17" s="12">
        <f t="shared" si="3"/>
        <v>62953</v>
      </c>
      <c r="L17" s="12">
        <f>IF(ROW()=6,Annahmen!$B$6+K17,L16+K17)</f>
        <v>475486</v>
      </c>
      <c r="M17" s="15">
        <f t="shared" si="4"/>
        <v>0.57094530250950015</v>
      </c>
    </row>
    <row r="18" spans="1:13" x14ac:dyDescent="0.35">
      <c r="A18" s="16" t="s">
        <v>224</v>
      </c>
      <c r="B18" s="16">
        <f>B17</f>
        <v>469</v>
      </c>
      <c r="C18" s="17">
        <f>C17</f>
        <v>819132</v>
      </c>
      <c r="D18" s="17">
        <f>SUM(D6:D17)</f>
        <v>339737</v>
      </c>
      <c r="E18" s="17">
        <f>SUM(E6:E17)</f>
        <v>403500</v>
      </c>
      <c r="F18" s="17">
        <f>SUM(F6:F17)</f>
        <v>743237</v>
      </c>
      <c r="G18" s="17">
        <f>SUM(G6:G17)</f>
        <v>16751</v>
      </c>
      <c r="H18" s="17">
        <f>SUM(H6:H17)</f>
        <v>384000</v>
      </c>
      <c r="I18" s="17">
        <f>SUM(I6:I17)</f>
        <v>117000</v>
      </c>
      <c r="J18" s="17">
        <f>SUM(J6:J17)</f>
        <v>517751</v>
      </c>
      <c r="K18" s="17">
        <f>SUM(K6:K17)</f>
        <v>225486</v>
      </c>
      <c r="L18" s="17">
        <f>L17</f>
        <v>475486</v>
      </c>
      <c r="M18" s="18">
        <f>IFERROR(K18/F18,0)</f>
        <v>0.30338371205954495</v>
      </c>
    </row>
    <row r="19" spans="1:13" ht="21" customHeight="1" x14ac:dyDescent="0.35"/>
    <row r="20" spans="1:13" ht="21" customHeight="1" x14ac:dyDescent="0.35"/>
    <row r="21" spans="1:13" ht="21" customHeight="1" x14ac:dyDescent="0.35"/>
    <row r="22" spans="1:13" ht="21" customHeight="1" x14ac:dyDescent="0.35"/>
    <row r="23" spans="1:13" ht="21" customHeight="1" x14ac:dyDescent="0.35"/>
    <row r="24" spans="1:13" ht="21" customHeight="1" x14ac:dyDescent="0.35"/>
    <row r="25" spans="1:13" ht="21" customHeight="1" x14ac:dyDescent="0.35"/>
    <row r="26" spans="1:13" ht="21" customHeight="1" x14ac:dyDescent="0.35"/>
    <row r="27" spans="1:13" ht="21" customHeight="1" x14ac:dyDescent="0.35"/>
    <row r="28" spans="1:13" ht="21" customHeight="1" x14ac:dyDescent="0.35"/>
    <row r="29" spans="1:13" ht="21" customHeight="1" x14ac:dyDescent="0.35"/>
    <row r="30" spans="1:13" ht="21" customHeight="1" x14ac:dyDescent="0.35"/>
    <row r="31" spans="1:13" ht="21" customHeight="1" x14ac:dyDescent="0.35"/>
    <row r="32" spans="1:13" ht="21" customHeight="1" x14ac:dyDescent="0.35"/>
  </sheetData>
  <conditionalFormatting sqref="K6:K17">
    <cfRule type="colorScale" priority="1">
      <colorScale>
        <cfvo type="min"/>
        <cfvo type="percentile" val="50"/>
        <cfvo type="max"/>
        <color rgb="FFFCE8E4"/>
        <color rgb="FFFFFFFF"/>
        <color rgb="FFDCF3EB"/>
      </colorScale>
    </cfRule>
  </conditionalFormatting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docMetadata/LabelInfo.xml><?xml version="1.0" encoding="utf-8"?>
<clbl:labelList xmlns:clbl="http://schemas.microsoft.com/office/2020/mipLabelMetadata">
  <clbl:label id="{82029872-f420-4ada-985f-fd05d5b3b7e3}" enabled="1" method="Standard" siteId="{d0ad5c73-02ef-443c-b087-e21b8953e0ac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Start</vt:lpstr>
      <vt:lpstr>Annahmen</vt:lpstr>
      <vt:lpstr>Sales</vt:lpstr>
      <vt:lpstr>Kundenprojekte</vt:lpstr>
      <vt:lpstr>Entwicklung</vt:lpstr>
      <vt:lpstr>Finanzplan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2026-10-09T10:20:45Z</dcterms:created>
  <dcterms:modified xsi:type="dcterms:W3CDTF">2026-10-09T10:38:04Z</dcterms:modified>
</cp:coreProperties>
</file>