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chemenu\"/>
    </mc:Choice>
  </mc:AlternateContent>
  <xr:revisionPtr revIDLastSave="0" documentId="8_{0D29DAEB-1F34-42D4-8AAD-9D5714B8BBA7}" xr6:coauthVersionLast="47" xr6:coauthVersionMax="47" xr10:uidLastSave="{00000000-0000-0000-0000-000000000000}"/>
  <bookViews>
    <workbookView xWindow="-98" yWindow="-98" windowWidth="21795" windowHeight="12975" firstSheet="5" activeTab="9" xr2:uid="{70FE097C-DB4B-4520-8918-BFF1603C412D}"/>
  </bookViews>
  <sheets>
    <sheet name="Start" sheetId="1" r:id="rId1"/>
    <sheet name="Grunddaten" sheetId="2" r:id="rId2"/>
    <sheet name="Mathematik" sheetId="3" r:id="rId3"/>
    <sheet name="Statistik" sheetId="4" r:id="rId4"/>
    <sheet name="Logik" sheetId="5" r:id="rId5"/>
    <sheet name="Text" sheetId="6" r:id="rId6"/>
    <sheet name="Datum" sheetId="7" r:id="rId7"/>
    <sheet name="Nachschlagen" sheetId="8" r:id="rId8"/>
    <sheet name="Aggregation" sheetId="9" r:id="rId9"/>
    <sheet name="Export-Kanten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C22" i="10" l="1"/>
  <c r="D12" i="6"/>
  <c r="C21" i="10"/>
  <c r="C18" i="10"/>
  <c r="C17" i="10"/>
  <c r="C16" i="10"/>
  <c r="C15" i="10"/>
  <c r="C14" i="10"/>
  <c r="C13" i="10"/>
  <c r="C10" i="10"/>
  <c r="D2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2" i="8"/>
  <c r="D3" i="8"/>
  <c r="D4" i="8"/>
  <c r="D5" i="8"/>
  <c r="D6" i="8"/>
  <c r="D7" i="8"/>
  <c r="D8" i="8"/>
  <c r="D9" i="8"/>
  <c r="D10" i="8"/>
  <c r="D11" i="8"/>
  <c r="D12" i="8"/>
  <c r="D13" i="8"/>
  <c r="D15" i="8"/>
  <c r="D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" i="6"/>
  <c r="D3" i="6"/>
  <c r="D4" i="6"/>
  <c r="D5" i="6"/>
  <c r="D6" i="6"/>
  <c r="D7" i="6"/>
  <c r="D8" i="6"/>
  <c r="D9" i="6"/>
  <c r="D10" i="6"/>
  <c r="D11" i="6"/>
  <c r="D13" i="6"/>
  <c r="D14" i="6"/>
  <c r="D15" i="6"/>
  <c r="D16" i="6"/>
  <c r="D17" i="6"/>
  <c r="D18" i="6"/>
  <c r="D19" i="6"/>
  <c r="D2" i="5"/>
  <c r="D3" i="5"/>
  <c r="D4" i="5"/>
  <c r="D5" i="5"/>
  <c r="D6" i="5"/>
  <c r="D7" i="5"/>
  <c r="D8" i="5"/>
  <c r="D9" i="5"/>
  <c r="D10" i="5"/>
  <c r="D11" i="5"/>
  <c r="D12" i="5"/>
  <c r="D13" i="5"/>
  <c r="D14" i="5" a="1"/>
  <c r="D14" i="5" s="1"/>
  <c r="D15" i="5" a="1"/>
  <c r="D15" i="5"/>
  <c r="D16" i="5"/>
  <c r="D2" i="4"/>
  <c r="D3" i="4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2" i="3"/>
  <c r="D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M10" i="2"/>
  <c r="D14" i="8" a="1"/>
  <c r="D14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<sst xmlns="http://schemas.openxmlformats.org/spreadsheetml/2006/main" count="699" uniqueCount="601">
  <si>
    <t>EXCEL → TSV | FUNKTIONSTEST</t>
  </si>
  <si>
    <t>Testmappe für blattweise tab-separierte RFC-4180-Exporte und einen separaten Formel-Nachweis.</t>
  </si>
  <si>
    <t>Bereich</t>
  </si>
  <si>
    <t>Inhalt</t>
  </si>
  <si>
    <t>Prüfziel</t>
  </si>
  <si>
    <t>Grunddaten</t>
  </si>
  <si>
    <t>Zentrale Eingaben und Lookup-Tabellen</t>
  </si>
  <si>
    <t>Referenzen, leere Zellen, Zahlen, Text, Datumswerte</t>
  </si>
  <si>
    <t>Mathematik</t>
  </si>
  <si>
    <t>Arithmetik und Rundung</t>
  </si>
  <si>
    <t>Operanden, Prozentwerte, relative / absolute Bezüge</t>
  </si>
  <si>
    <t>Statistik</t>
  </si>
  <si>
    <t>Kennzahlen und Rangfolgen</t>
  </si>
  <si>
    <t>Zahlen, Nullen, Ausreißer, Leerwerte</t>
  </si>
  <si>
    <t>Logik</t>
  </si>
  <si>
    <t>Bedingungen und Fehlerbehandlung</t>
  </si>
  <si>
    <t>Wahr/Falsch, AND/OR, IFERROR, IFNA</t>
  </si>
  <si>
    <t>Text</t>
  </si>
  <si>
    <t>Textbearbeitung</t>
  </si>
  <si>
    <t>Unicode, Trennzeichen, Formelausgabe als Text</t>
  </si>
  <si>
    <t>Datum</t>
  </si>
  <si>
    <t>Datums- und Zeitfunktionen</t>
  </si>
  <si>
    <t>Datumsserienwerte, Monatsgrenzen, Wochentage</t>
  </si>
  <si>
    <t>Nachschlagen</t>
  </si>
  <si>
    <t>Suchen und Indexieren</t>
  </si>
  <si>
    <t>exakte Treffer, fehlende Schlüssel, Positionen</t>
  </si>
  <si>
    <t>Aggregation</t>
  </si>
  <si>
    <t>Summen nach Kriterien</t>
  </si>
  <si>
    <t>Wildcards, mehrere Kriterien, sichtbare Zeilen</t>
  </si>
  <si>
    <t>Export-Kanten</t>
  </si>
  <si>
    <t>Kontrollierte TSV-Grenzfälle</t>
  </si>
  <si>
    <t>Tab, Anführungszeichen, Zeilenumbruch, Fehlerzellen</t>
  </si>
  <si>
    <t>LESEHINWEIS</t>
  </si>
  <si>
    <t>Eingaben sind blau, Formelergebnisse dunkel; Quelltabellen stehen in Grunddaten.</t>
  </si>
  <si>
    <t>EXPORTREGEL</t>
  </si>
  <si>
    <t>Textzellen mit Tab, CR/LF oder Anführungszeichen müssen entsprechend RFC 4180 gequotet werden.</t>
  </si>
  <si>
    <t>FORMELDATEI</t>
  </si>
  <si>
    <t>Formeln separat mit Blatt, Zelladresse und Formeltext erfassen; Werte-Dateien enthalten berechnete Anzeigen.</t>
  </si>
  <si>
    <t>HINWEIS</t>
  </si>
  <si>
    <t>Excel-Fehlerzellen im Blatt Export-Kanten sind absichtlich erzeugt und keine Defekte der Testmappe.</t>
  </si>
  <si>
    <t>ID</t>
  </si>
  <si>
    <t>Region</t>
  </si>
  <si>
    <t>Produkt</t>
  </si>
  <si>
    <t>Menge</t>
  </si>
  <si>
    <t>Preis EUR</t>
  </si>
  <si>
    <t>P01</t>
  </si>
  <si>
    <t>Nord</t>
  </si>
  <si>
    <t>Apfel</t>
  </si>
  <si>
    <t>P02</t>
  </si>
  <si>
    <t>Süd</t>
  </si>
  <si>
    <t>Birne</t>
  </si>
  <si>
    <t>P03</t>
  </si>
  <si>
    <t>Kirsche</t>
  </si>
  <si>
    <t>P04</t>
  </si>
  <si>
    <t>West</t>
  </si>
  <si>
    <t>P05</t>
  </si>
  <si>
    <t>Mango</t>
  </si>
  <si>
    <t>P06</t>
  </si>
  <si>
    <t>Ost</t>
  </si>
  <si>
    <t>P07</t>
  </si>
  <si>
    <t>Kiwi</t>
  </si>
  <si>
    <t>P08</t>
  </si>
  <si>
    <t>P09</t>
  </si>
  <si>
    <t>P10</t>
  </si>
  <si>
    <t>Pfirsich</t>
  </si>
  <si>
    <t>P11</t>
  </si>
  <si>
    <t>P12</t>
  </si>
  <si>
    <t>Zitrone</t>
  </si>
  <si>
    <t>Code</t>
  </si>
  <si>
    <t>Faktor</t>
  </si>
  <si>
    <t>N</t>
  </si>
  <si>
    <t>S</t>
  </si>
  <si>
    <t>O</t>
  </si>
  <si>
    <t>W</t>
  </si>
  <si>
    <t>Fall</t>
  </si>
  <si>
    <t>Testtext</t>
  </si>
  <si>
    <t>ASCII</t>
  </si>
  <si>
    <t xml:space="preserve">  Hallo Welt  </t>
  </si>
  <si>
    <t>Tab</t>
  </si>
  <si>
    <t>Links	Rechts</t>
  </si>
  <si>
    <t>LF</t>
  </si>
  <si>
    <t>Erste Zeile
Zweite Zeile</t>
  </si>
  <si>
    <t>CRLF</t>
  </si>
  <si>
    <t>Erste Zeile_x000D_
Zweite Zeile</t>
  </si>
  <si>
    <t>Zitat</t>
  </si>
  <si>
    <t>Er sagte "Hallo"</t>
  </si>
  <si>
    <t>Unicode</t>
  </si>
  <si>
    <t>Größe € 😀 é</t>
  </si>
  <si>
    <t>Führende Null</t>
  </si>
  <si>
    <t>Apostroph</t>
  </si>
  <si>
    <t>O'Brien</t>
  </si>
  <si>
    <t>Formelähnlicher Text</t>
  </si>
  <si>
    <t>Komma/Semikolon</t>
  </si>
  <si>
    <t>rot,grün;blau</t>
  </si>
  <si>
    <t>Test-ID</t>
  </si>
  <si>
    <t>Funktion</t>
  </si>
  <si>
    <t>Prüffall</t>
  </si>
  <si>
    <t>Ergebnis</t>
  </si>
  <si>
    <t>Exportaspekt</t>
  </si>
  <si>
    <t>M01</t>
  </si>
  <si>
    <t>SUM</t>
  </si>
  <si>
    <t>Gesamtmenge</t>
  </si>
  <si>
    <t>Null und Leerwert</t>
  </si>
  <si>
    <t>M02</t>
  </si>
  <si>
    <t>PRODUCT</t>
  </si>
  <si>
    <t>Produkt zweier Mengen</t>
  </si>
  <si>
    <t>Multiplikation</t>
  </si>
  <si>
    <t>M03</t>
  </si>
  <si>
    <t>SUMPRODUCT</t>
  </si>
  <si>
    <t>Menge × Preis, alle Datensätze</t>
  </si>
  <si>
    <t>Leerwert als 0</t>
  </si>
  <si>
    <t>M04</t>
  </si>
  <si>
    <t>ABS</t>
  </si>
  <si>
    <t>Negativen Bestand positiv darstellen</t>
  </si>
  <si>
    <t>Vorzeichen</t>
  </si>
  <si>
    <t>M05</t>
  </si>
  <si>
    <t>ROUND</t>
  </si>
  <si>
    <t>Preis auf eine Stelle</t>
  </si>
  <si>
    <t>Rundung</t>
  </si>
  <si>
    <t>M06</t>
  </si>
  <si>
    <t>ROUNDUP</t>
  </si>
  <si>
    <t>Preis auf ganze Zahl aufrunden</t>
  </si>
  <si>
    <t>Aufrunden</t>
  </si>
  <si>
    <t>M07</t>
  </si>
  <si>
    <t>ROUNDDOWN</t>
  </si>
  <si>
    <t>Preis auf ganze Zahl abrunden</t>
  </si>
  <si>
    <t>Abrunden</t>
  </si>
  <si>
    <t>M08</t>
  </si>
  <si>
    <t>INT</t>
  </si>
  <si>
    <t>Ganzzahl eines negativen Werts</t>
  </si>
  <si>
    <t>Richtung minus unendlich</t>
  </si>
  <si>
    <t>M09</t>
  </si>
  <si>
    <t>MOD</t>
  </si>
  <si>
    <t>Rest einer Division</t>
  </si>
  <si>
    <t>Division</t>
  </si>
  <si>
    <t>M10</t>
  </si>
  <si>
    <t>POWER</t>
  </si>
  <si>
    <t>Potenz</t>
  </si>
  <si>
    <t>Quadrat</t>
  </si>
  <si>
    <t>M11</t>
  </si>
  <si>
    <t>SQRT</t>
  </si>
  <si>
    <t>Quadratwurzel</t>
  </si>
  <si>
    <t>Dezimalzahl</t>
  </si>
  <si>
    <t>M12</t>
  </si>
  <si>
    <t>CEILING.MATH</t>
  </si>
  <si>
    <t>Aufrunden auf Vielfaches</t>
  </si>
  <si>
    <t>Schrittweite</t>
  </si>
  <si>
    <t>M13</t>
  </si>
  <si>
    <t>FLOOR.MATH</t>
  </si>
  <si>
    <t>Abrunden auf Vielfaches</t>
  </si>
  <si>
    <t>M14</t>
  </si>
  <si>
    <t>TRUNC</t>
  </si>
  <si>
    <t>Abschneiden ohne Rundung</t>
  </si>
  <si>
    <t>M15</t>
  </si>
  <si>
    <t>PI</t>
  </si>
  <si>
    <t>Kreiszahl</t>
  </si>
  <si>
    <t>Konstante</t>
  </si>
  <si>
    <t>M16</t>
  </si>
  <si>
    <t>SIN</t>
  </si>
  <si>
    <t>Sinus von 30°</t>
  </si>
  <si>
    <t>Winkel</t>
  </si>
  <si>
    <t>M17</t>
  </si>
  <si>
    <t>EXP / LN</t>
  </si>
  <si>
    <t>Umkehrfunktionen</t>
  </si>
  <si>
    <t>Verschachtelung</t>
  </si>
  <si>
    <t>M18</t>
  </si>
  <si>
    <t>SUM / absolut</t>
  </si>
  <si>
    <t>Absolute Preisreferenz</t>
  </si>
  <si>
    <t>Gemischte Bezugstypen</t>
  </si>
  <si>
    <t>S01</t>
  </si>
  <si>
    <t>COUNT</t>
  </si>
  <si>
    <t>Anzahl numerischer Mengen</t>
  </si>
  <si>
    <t>Leerwert ausgeschlossen</t>
  </si>
  <si>
    <t>S02</t>
  </si>
  <si>
    <t>COUNTA</t>
  </si>
  <si>
    <t>Anzahl befüllter Produktnamen</t>
  </si>
  <si>
    <t>Textwerte</t>
  </si>
  <si>
    <t>S03</t>
  </si>
  <si>
    <t>COUNTBLANK</t>
  </si>
  <si>
    <t>Leere Menge</t>
  </si>
  <si>
    <t>Echte leere Zelle</t>
  </si>
  <si>
    <t>S04</t>
  </si>
  <si>
    <t>AVERAGE</t>
  </si>
  <si>
    <t>Mittelwert inklusive Null</t>
  </si>
  <si>
    <t>0 enthalten</t>
  </si>
  <si>
    <t>S05</t>
  </si>
  <si>
    <t>AVERAGEIF</t>
  </si>
  <si>
    <t>Mittelwert ohne Null</t>
  </si>
  <si>
    <t>0 ausgeschlossen</t>
  </si>
  <si>
    <t>S06</t>
  </si>
  <si>
    <t>MEDIAN</t>
  </si>
  <si>
    <t>Median der Mengen</t>
  </si>
  <si>
    <t>Robuste Lage</t>
  </si>
  <si>
    <t>S07</t>
  </si>
  <si>
    <t>MODE.SNGL</t>
  </si>
  <si>
    <t>Häufigster Preis</t>
  </si>
  <si>
    <t>Doppelte Werte</t>
  </si>
  <si>
    <t>S08</t>
  </si>
  <si>
    <t>MIN</t>
  </si>
  <si>
    <t>Niedrigste Menge</t>
  </si>
  <si>
    <t>Negative Werte</t>
  </si>
  <si>
    <t>S09</t>
  </si>
  <si>
    <t>MAX</t>
  </si>
  <si>
    <t>Höchste Menge</t>
  </si>
  <si>
    <t>Maximum</t>
  </si>
  <si>
    <t>S10</t>
  </si>
  <si>
    <t>LARGE</t>
  </si>
  <si>
    <t>Zweitgrößte Menge</t>
  </si>
  <si>
    <t>Rang</t>
  </si>
  <si>
    <t>S11</t>
  </si>
  <si>
    <t>SMALL</t>
  </si>
  <si>
    <t>Zweitkleinste Menge</t>
  </si>
  <si>
    <t>S12</t>
  </si>
  <si>
    <t>STDEV.S</t>
  </si>
  <si>
    <t>Stichprobenstreuung</t>
  </si>
  <si>
    <t>Streuung</t>
  </si>
  <si>
    <t>S13</t>
  </si>
  <si>
    <t>VAR.P</t>
  </si>
  <si>
    <t>Populationsvarianz</t>
  </si>
  <si>
    <t>Varianz</t>
  </si>
  <si>
    <t>S14</t>
  </si>
  <si>
    <t>PERCENTILE.INC</t>
  </si>
  <si>
    <t>75. Perzentil</t>
  </si>
  <si>
    <t>Quantil</t>
  </si>
  <si>
    <t>S15</t>
  </si>
  <si>
    <t>RANK.EQ</t>
  </si>
  <si>
    <t>Rang der ersten Menge</t>
  </si>
  <si>
    <t>Absteigend</t>
  </si>
  <si>
    <t>S16</t>
  </si>
  <si>
    <t>CORREL</t>
  </si>
  <si>
    <t>Menge gegen Preis (nur vollständige Paare)</t>
  </si>
  <si>
    <t>Korrelation</t>
  </si>
  <si>
    <t>L01</t>
  </si>
  <si>
    <t>IF</t>
  </si>
  <si>
    <t>Nullmenge ist nicht positiv</t>
  </si>
  <si>
    <t>Zweigwahl</t>
  </si>
  <si>
    <t>L02</t>
  </si>
  <si>
    <t>AND</t>
  </si>
  <si>
    <t>Zwei Bedingungen erfüllt</t>
  </si>
  <si>
    <t>WAHR/FALSCH</t>
  </si>
  <si>
    <t>L03</t>
  </si>
  <si>
    <t>OR</t>
  </si>
  <si>
    <t>Mindestens eine Bedingung</t>
  </si>
  <si>
    <t>L04</t>
  </si>
  <si>
    <t>NOT</t>
  </si>
  <si>
    <t>Negation</t>
  </si>
  <si>
    <t>L05</t>
  </si>
  <si>
    <t>IF / AND</t>
  </si>
  <si>
    <t>Mehrere Bedingungen</t>
  </si>
  <si>
    <t>L06</t>
  </si>
  <si>
    <t>IFERROR</t>
  </si>
  <si>
    <t>Division durch 0 auffangen</t>
  </si>
  <si>
    <t>Fehlerbehandlung</t>
  </si>
  <si>
    <t>L07</t>
  </si>
  <si>
    <t>IFNA</t>
  </si>
  <si>
    <t>Nicht gefunden auffangen</t>
  </si>
  <si>
    <t>#N/A abfangen</t>
  </si>
  <si>
    <t>L08</t>
  </si>
  <si>
    <t>ISBLANK</t>
  </si>
  <si>
    <t>Echter Leerwert</t>
  </si>
  <si>
    <t>Leere Zelle</t>
  </si>
  <si>
    <t>L09</t>
  </si>
  <si>
    <t>ISNUMBER</t>
  </si>
  <si>
    <t>Zahl erkennen</t>
  </si>
  <si>
    <t>Typprüfung</t>
  </si>
  <si>
    <t>L10</t>
  </si>
  <si>
    <t>ISTEXT</t>
  </si>
  <si>
    <t>Text erkennen</t>
  </si>
  <si>
    <t>L11</t>
  </si>
  <si>
    <t>ISERROR</t>
  </si>
  <si>
    <t>Absichtlicher Fehler</t>
  </si>
  <si>
    <t>Fehler erkennen</t>
  </si>
  <si>
    <t>L12</t>
  </si>
  <si>
    <t>EXACT</t>
  </si>
  <si>
    <t>Groß-/Kleinschreibung beachten</t>
  </si>
  <si>
    <t>Textvergleich</t>
  </si>
  <si>
    <t>L13</t>
  </si>
  <si>
    <t>SWITCH</t>
  </si>
  <si>
    <t>Region klassifizieren</t>
  </si>
  <si>
    <t>Fallunterscheidung</t>
  </si>
  <si>
    <t>L14</t>
  </si>
  <si>
    <t>IFS</t>
  </si>
  <si>
    <t>Mehrstufige Klassifikation</t>
  </si>
  <si>
    <t>Reihenfolge</t>
  </si>
  <si>
    <t>L15</t>
  </si>
  <si>
    <t>IF / leer</t>
  </si>
  <si>
    <t>Leere Quelle explizit kennzeichnen</t>
  </si>
  <si>
    <t>Leer vs. Null</t>
  </si>
  <si>
    <t>T01</t>
  </si>
  <si>
    <t>LEN</t>
  </si>
  <si>
    <t>Unicode-Textlänge</t>
  </si>
  <si>
    <t>Zeichen zählen</t>
  </si>
  <si>
    <t>T02</t>
  </si>
  <si>
    <t>TRIM</t>
  </si>
  <si>
    <t>Ränder und Mehrfachleerzeichen entfernen</t>
  </si>
  <si>
    <t>Whitespace</t>
  </si>
  <si>
    <t>T03</t>
  </si>
  <si>
    <t>LEFT</t>
  </si>
  <si>
    <t>Erste drei Zeichen</t>
  </si>
  <si>
    <t>Teilstring</t>
  </si>
  <si>
    <t>T04</t>
  </si>
  <si>
    <t>RIGHT</t>
  </si>
  <si>
    <t>Letzte drei Zeichen</t>
  </si>
  <si>
    <t>T05</t>
  </si>
  <si>
    <t>MID</t>
  </si>
  <si>
    <t>Zeichen in der Mitte</t>
  </si>
  <si>
    <t>T06</t>
  </si>
  <si>
    <t>UPPER</t>
  </si>
  <si>
    <t>Großschreibung</t>
  </si>
  <si>
    <t>Groß/Klein</t>
  </si>
  <si>
    <t>T07</t>
  </si>
  <si>
    <t>LOWER</t>
  </si>
  <si>
    <t>Kleinschreibung</t>
  </si>
  <si>
    <t>T08</t>
  </si>
  <si>
    <t>PROPER</t>
  </si>
  <si>
    <t>Titel-Schreibung</t>
  </si>
  <si>
    <t>T09</t>
  </si>
  <si>
    <t>CONCAT</t>
  </si>
  <si>
    <t>ID und Produkt verbinden</t>
  </si>
  <si>
    <t>Textverkettung</t>
  </si>
  <si>
    <t>T10</t>
  </si>
  <si>
    <t>TEXTJOIN</t>
  </si>
  <si>
    <t>Liste mit Trennzeichen</t>
  </si>
  <si>
    <t>Mehrere Zellen</t>
  </si>
  <si>
    <t>T11</t>
  </si>
  <si>
    <t>FIND</t>
  </si>
  <si>
    <t>Groß-/Kleinsensitives Suchen</t>
  </si>
  <si>
    <t>Position</t>
  </si>
  <si>
    <t>T12</t>
  </si>
  <si>
    <t>SEARCH</t>
  </si>
  <si>
    <t>Unsensitives Suchen</t>
  </si>
  <si>
    <t>T13</t>
  </si>
  <si>
    <t>SUBSTITUTE</t>
  </si>
  <si>
    <t>Zeichen ersetzen</t>
  </si>
  <si>
    <t>Anführungszeichen</t>
  </si>
  <si>
    <t>T14</t>
  </si>
  <si>
    <t>REPLACE</t>
  </si>
  <si>
    <t>Zeichenposition ersetzen</t>
  </si>
  <si>
    <t>T15</t>
  </si>
  <si>
    <t>TEXT</t>
  </si>
  <si>
    <t>Zahl als formatierter Text</t>
  </si>
  <si>
    <t>Ergebnis ist Text</t>
  </si>
  <si>
    <t>T16</t>
  </si>
  <si>
    <t>VALUE</t>
  </si>
  <si>
    <t>Führende Nullen zu Zahl</t>
  </si>
  <si>
    <t>Text → Zahl</t>
  </si>
  <si>
    <t>T17</t>
  </si>
  <si>
    <t>CHAR</t>
  </si>
  <si>
    <t>Tabulator erzeugen</t>
  </si>
  <si>
    <t>Quoting im Export</t>
  </si>
  <si>
    <t>T18</t>
  </si>
  <si>
    <t>CLEAN</t>
  </si>
  <si>
    <t>Steuerzeichen entfernen</t>
  </si>
  <si>
    <t>Tab im Quelltext</t>
  </si>
  <si>
    <t>D01</t>
  </si>
  <si>
    <t>DATE</t>
  </si>
  <si>
    <t>Datum aus Komponenten</t>
  </si>
  <si>
    <t>D02</t>
  </si>
  <si>
    <t>YEAR</t>
  </si>
  <si>
    <t>Jahr der Quelle</t>
  </si>
  <si>
    <t>Ganzzahl</t>
  </si>
  <si>
    <t>D03</t>
  </si>
  <si>
    <t>MONTH</t>
  </si>
  <si>
    <t>Monat der Quelle</t>
  </si>
  <si>
    <t>D04</t>
  </si>
  <si>
    <t>DAY</t>
  </si>
  <si>
    <t>Tag der Quelle</t>
  </si>
  <si>
    <t>D05</t>
  </si>
  <si>
    <t>EDATE</t>
  </si>
  <si>
    <t>Ein Monat ab Schalttag</t>
  </si>
  <si>
    <t>Monatswechsel</t>
  </si>
  <si>
    <t>D06</t>
  </si>
  <si>
    <t>EOMONTH</t>
  </si>
  <si>
    <t>Monatsende des Folgemonats</t>
  </si>
  <si>
    <t>Monatsende</t>
  </si>
  <si>
    <t>D07</t>
  </si>
  <si>
    <t>WEEKDAY</t>
  </si>
  <si>
    <t>Wochentag Montag = 1</t>
  </si>
  <si>
    <t>Wochentag</t>
  </si>
  <si>
    <t>D08</t>
  </si>
  <si>
    <t>WEEKNUM</t>
  </si>
  <si>
    <t>Wochennummer Montag zuerst</t>
  </si>
  <si>
    <t>Kalenderwoche</t>
  </si>
  <si>
    <t>D09</t>
  </si>
  <si>
    <t>ISOWEEKNUM</t>
  </si>
  <si>
    <t>ISO-Kalenderwoche</t>
  </si>
  <si>
    <t>ISO</t>
  </si>
  <si>
    <t>D10</t>
  </si>
  <si>
    <t>DAYS</t>
  </si>
  <si>
    <t>Tage zwischen zwei Datumswerten</t>
  </si>
  <si>
    <t>Differenz</t>
  </si>
  <si>
    <t>D11</t>
  </si>
  <si>
    <t>DATEDIF</t>
  </si>
  <si>
    <t>Volle Monate zwischen Daten</t>
  </si>
  <si>
    <t>Monatsdifferenz</t>
  </si>
  <si>
    <t>D12</t>
  </si>
  <si>
    <t>NETWORKDAYS</t>
  </si>
  <si>
    <t>Arbeitstage inkl. Grenzen</t>
  </si>
  <si>
    <t>Mo–Fr, ohne Feiertage</t>
  </si>
  <si>
    <t>D13</t>
  </si>
  <si>
    <t>WORKDAY</t>
  </si>
  <si>
    <t>10 Arbeitstage später</t>
  </si>
  <si>
    <t>Mo–Fr</t>
  </si>
  <si>
    <t>D14</t>
  </si>
  <si>
    <t>TIME</t>
  </si>
  <si>
    <t>Uhrzeit erzeugen</t>
  </si>
  <si>
    <t>Zeitserienwert</t>
  </si>
  <si>
    <t>D15</t>
  </si>
  <si>
    <t>HOUR</t>
  </si>
  <si>
    <t>Stunde extrahieren</t>
  </si>
  <si>
    <t>Stunden</t>
  </si>
  <si>
    <t>D16</t>
  </si>
  <si>
    <t>MINUTE</t>
  </si>
  <si>
    <t>Minute extrahieren</t>
  </si>
  <si>
    <t>Minuten</t>
  </si>
  <si>
    <t>D17</t>
  </si>
  <si>
    <t>SECOND</t>
  </si>
  <si>
    <t>Sekunde extrahieren</t>
  </si>
  <si>
    <t>Sekunden</t>
  </si>
  <si>
    <t>D18</t>
  </si>
  <si>
    <t>YEARFRAC</t>
  </si>
  <si>
    <t>Jahresbruchteil</t>
  </si>
  <si>
    <t>Basis actual/actual</t>
  </si>
  <si>
    <t>N01</t>
  </si>
  <si>
    <t>VLOOKUP</t>
  </si>
  <si>
    <t>Exakter Regionstreffer</t>
  </si>
  <si>
    <t>Exakt</t>
  </si>
  <si>
    <t>N02</t>
  </si>
  <si>
    <t>Faktor für West</t>
  </si>
  <si>
    <t>Numerisch</t>
  </si>
  <si>
    <t>N03</t>
  </si>
  <si>
    <t>INDEX / MATCH</t>
  </si>
  <si>
    <t>Region per ID</t>
  </si>
  <si>
    <t>Dynamische Position</t>
  </si>
  <si>
    <t>N04</t>
  </si>
  <si>
    <t>MATCH</t>
  </si>
  <si>
    <t>Position P07</t>
  </si>
  <si>
    <t>1-basiert</t>
  </si>
  <si>
    <t>N05</t>
  </si>
  <si>
    <t>XMATCH</t>
  </si>
  <si>
    <t>Position P07 (modern)</t>
  </si>
  <si>
    <t>Modernes Excel</t>
  </si>
  <si>
    <t>N06</t>
  </si>
  <si>
    <t>XLOOKUP</t>
  </si>
  <si>
    <t>Preis zu P07</t>
  </si>
  <si>
    <t>N07</t>
  </si>
  <si>
    <t>Kein Treffer mit Ersatz</t>
  </si>
  <si>
    <t>Nicht gefunden</t>
  </si>
  <si>
    <t>N08</t>
  </si>
  <si>
    <t>INDEX</t>
  </si>
  <si>
    <t>Direkte Position</t>
  </si>
  <si>
    <t>N09</t>
  </si>
  <si>
    <t>CHOOSE</t>
  </si>
  <si>
    <t>Element wählen</t>
  </si>
  <si>
    <t>Auswahlliste</t>
  </si>
  <si>
    <t>N10</t>
  </si>
  <si>
    <t>ROW</t>
  </si>
  <si>
    <t>Zeilennummer der Quelle</t>
  </si>
  <si>
    <t>Koordinate</t>
  </si>
  <si>
    <t>N11</t>
  </si>
  <si>
    <t>COLUMN</t>
  </si>
  <si>
    <t>Spaltennummer der Quelle</t>
  </si>
  <si>
    <t>N12</t>
  </si>
  <si>
    <t>ADDRESS</t>
  </si>
  <si>
    <t>Absolute Zelladresse</t>
  </si>
  <si>
    <t>Referenz als Text</t>
  </si>
  <si>
    <t>N13</t>
  </si>
  <si>
    <t>INDIRECT</t>
  </si>
  <si>
    <t>Text zu Zellreferenz</t>
  </si>
  <si>
    <t>Indirekter Bezug</t>
  </si>
  <si>
    <t>N14</t>
  </si>
  <si>
    <t>OFFSET</t>
  </si>
  <si>
    <t>Versetzte Zelle</t>
  </si>
  <si>
    <t>Versatz</t>
  </si>
  <si>
    <t>A01</t>
  </si>
  <si>
    <t>SUMIF</t>
  </si>
  <si>
    <t>Mengen Nord</t>
  </si>
  <si>
    <t>Ein Kriterium</t>
  </si>
  <si>
    <t>A02</t>
  </si>
  <si>
    <t>SUMIFS</t>
  </si>
  <si>
    <t>Mengen Nord und Apfel</t>
  </si>
  <si>
    <t>Zwei Kriterien</t>
  </si>
  <si>
    <t>A03</t>
  </si>
  <si>
    <t>Mengen ab 2025</t>
  </si>
  <si>
    <t>Datumsgrenze</t>
  </si>
  <si>
    <t>A04</t>
  </si>
  <si>
    <t>COUNTIF</t>
  </si>
  <si>
    <t>Anzahl Apfel</t>
  </si>
  <si>
    <t>Textkriterium</t>
  </si>
  <si>
    <t>A05</t>
  </si>
  <si>
    <t>Anzahl mit A am Anfang</t>
  </si>
  <si>
    <t>Wildcard</t>
  </si>
  <si>
    <t>A06</t>
  </si>
  <si>
    <t>COUNTIFS</t>
  </si>
  <si>
    <t>Süd und Menge &gt; 0</t>
  </si>
  <si>
    <t>Mehrere Kriterien</t>
  </si>
  <si>
    <t>A07</t>
  </si>
  <si>
    <t>Mittlere Menge Nord</t>
  </si>
  <si>
    <t>Mittelwert</t>
  </si>
  <si>
    <t>A08</t>
  </si>
  <si>
    <t>AVERAGEIFS</t>
  </si>
  <si>
    <t>Preis Süd und Apfel</t>
  </si>
  <si>
    <t>A09</t>
  </si>
  <si>
    <t>MAXIFS</t>
  </si>
  <si>
    <t>Maximale Menge Nord</t>
  </si>
  <si>
    <t>Extremwert</t>
  </si>
  <si>
    <t>A10</t>
  </si>
  <si>
    <t>MINIFS</t>
  </si>
  <si>
    <t>Kleinster Preis Apfel</t>
  </si>
  <si>
    <t>A11</t>
  </si>
  <si>
    <t>SUBTOTAL</t>
  </si>
  <si>
    <t>Summe mit Filterfähigkeit</t>
  </si>
  <si>
    <t>Filterabhängig</t>
  </si>
  <si>
    <t>A12</t>
  </si>
  <si>
    <t>AGGREGATE</t>
  </si>
  <si>
    <t>MAX mit Fehlerunterdrückung</t>
  </si>
  <si>
    <t>Option 6</t>
  </si>
  <si>
    <t>A13</t>
  </si>
  <si>
    <t>DSUM</t>
  </si>
  <si>
    <t>Datenbanksumme Region Nord</t>
  </si>
  <si>
    <t>Kriterienbereich G1:G2</t>
  </si>
  <si>
    <t>A14</t>
  </si>
  <si>
    <t>Menge ohne Region Nord</t>
  </si>
  <si>
    <t>Ungleich</t>
  </si>
  <si>
    <t>A15</t>
  </si>
  <si>
    <t>2024 und Menge positiv</t>
  </si>
  <si>
    <t>Datumsintervall</t>
  </si>
  <si>
    <t>Literal / Eingabe</t>
  </si>
  <si>
    <t>Formel-Ergebnis</t>
  </si>
  <si>
    <t>Erwarteter Zelltyp</t>
  </si>
  <si>
    <t>E01</t>
  </si>
  <si>
    <t>Tabulator innerhalb eines Feldes</t>
  </si>
  <si>
    <t>E02</t>
  </si>
  <si>
    <t>Zeile 1
Zeile 2</t>
  </si>
  <si>
    <t>LF innerhalb eines Feldes</t>
  </si>
  <si>
    <t>E03</t>
  </si>
  <si>
    <t>Zeile 1_x000D_
Zeile 2</t>
  </si>
  <si>
    <t>CRLF innerhalb eines Feldes</t>
  </si>
  <si>
    <t>E04</t>
  </si>
  <si>
    <t>Doppelte Quotes maskieren</t>
  </si>
  <si>
    <t>E05</t>
  </si>
  <si>
    <t>A	"B"
C</t>
  </si>
  <si>
    <t>Tab + Quotes + LF kombinieren</t>
  </si>
  <si>
    <t>E06</t>
  </si>
  <si>
    <t xml:space="preserve">  Anfang</t>
  </si>
  <si>
    <t>Führende Leerzeichen bewahren</t>
  </si>
  <si>
    <t>E07</t>
  </si>
  <si>
    <t xml:space="preserve">Ende  </t>
  </si>
  <si>
    <t>Nachgestellte Leerzeichen bewahren</t>
  </si>
  <si>
    <t>E08</t>
  </si>
  <si>
    <t>Echt leere Zelle</t>
  </si>
  <si>
    <t>Leer</t>
  </si>
  <si>
    <t>E09</t>
  </si>
  <si>
    <t>Formel ergibt leeren String</t>
  </si>
  <si>
    <t>Text / Formel</t>
  </si>
  <si>
    <t>E10</t>
  </si>
  <si>
    <t>Numerischer Nullwert</t>
  </si>
  <si>
    <t>Zahl</t>
  </si>
  <si>
    <t>E11</t>
  </si>
  <si>
    <t>Boolescher Wert</t>
  </si>
  <si>
    <t>Boolean</t>
  </si>
  <si>
    <t>E12</t>
  </si>
  <si>
    <t>Absichtliches #DIV/0!</t>
  </si>
  <si>
    <t>Fehler / Formel</t>
  </si>
  <si>
    <t>E13</t>
  </si>
  <si>
    <t>Absichtliches #N/A</t>
  </si>
  <si>
    <t>E14</t>
  </si>
  <si>
    <t>Absichtliches #NUM!</t>
  </si>
  <si>
    <t>E15</t>
  </si>
  <si>
    <t>Absichtliches #VALUE!</t>
  </si>
  <si>
    <t>E16</t>
  </si>
  <si>
    <t>Formelergebnis mit LF</t>
  </si>
  <si>
    <t>E17</t>
  </si>
  <si>
    <t>Formelergebnis mit Anführungszeichen</t>
  </si>
  <si>
    <t>E18</t>
  </si>
  <si>
    <t>Größe € 😀 日本語</t>
  </si>
  <si>
    <t>Unicode und Sonderzeichen</t>
  </si>
  <si>
    <t>E19</t>
  </si>
  <si>
    <t>Zahl mit Prozentformat</t>
  </si>
  <si>
    <t>Zahl + Format</t>
  </si>
  <si>
    <t>E20</t>
  </si>
  <si>
    <t>Datum ist numerischer Serienwert</t>
  </si>
  <si>
    <t>Datum / Formel</t>
  </si>
  <si>
    <t>E21</t>
  </si>
  <si>
    <t>Formelähnlicher Literaltext</t>
  </si>
  <si>
    <t>Text, keine Formel</t>
  </si>
  <si>
    <t>E22</t>
  </si>
  <si>
    <t>Numerische Präzision</t>
  </si>
  <si>
    <t>E23</t>
  </si>
  <si>
    <t>Große Zahl / wissenschaftliche Notation</t>
  </si>
  <si>
    <t>Fälle</t>
  </si>
  <si>
    <t>UMFANG</t>
  </si>
  <si>
    <t>12 Quelldatensätze · 23 Export-Kantenfälle</t>
  </si>
  <si>
    <t>FEHLERZELLEN</t>
  </si>
  <si>
    <t>4 absichtliche Fehler in Export-Kanten</t>
  </si>
  <si>
    <t>Fehlerwerte sollen getrennt von Formeltext und angezeigtem Text nachvollziehbar bleiben.</t>
  </si>
  <si>
    <t>VERSIONSHINWEIS</t>
  </si>
  <si>
    <t>XLOOKUP / XMATCH benötigen modernes Excel</t>
  </si>
  <si>
    <t>Weder volatile Zufallsformeln noch dynamische Webdaten enthalten.</t>
  </si>
  <si>
    <t>=SUM(1,2)</t>
  </si>
  <si>
    <t>123 Formeln in sieben Funktionsgruppen und dem Exportblatt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</si>
</sst>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\-mm\-dd"/>
    <numFmt numFmtId="165" formatCode="#,##0.00\ &quot;€&quot;"/>
    <numFmt numFmtId="166" formatCode="0.############"/>
    <numFmt numFmtId="167" formatCode="0.0000"/>
    <numFmt numFmtId="168" formatCode="0.0%"/>
    <numFmt numFmtId="170" formatCode="0.0000000000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"/>
    </font>
    <font>
      <b/>
      <sz val="11"/>
      <color rgb="FFFFFFFF"/>
      <name val="Aptos"/>
    </font>
    <font>
      <sz val="11"/>
      <color rgb="FF195F9A"/>
      <name val="Aptos"/>
    </font>
    <font>
      <sz val="11"/>
      <color rgb="FFFFFF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6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wrapText="1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/>
    <xf numFmtId="2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/>
    <xf numFmtId="166" fontId="2" fillId="0" borderId="0" xfId="0" applyNumberFormat="1" applyFont="1"/>
    <xf numFmtId="21" fontId="2" fillId="0" borderId="0" xfId="0" applyNumberFormat="1" applyFont="1"/>
    <xf numFmtId="167" fontId="2" fillId="0" borderId="0" xfId="0" applyNumberFormat="1" applyFont="1"/>
    <xf numFmtId="0" fontId="5" fillId="0" borderId="0" xfId="0" applyFont="1"/>
    <xf numFmtId="168" fontId="4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1" fontId="4" fillId="0" borderId="0" xfId="0" applyNumberFormat="1" applyFont="1" applyAlignment="1">
      <alignment wrapText="1"/>
    </xf>
    <xf numFmtId="0" fontId="2" fillId="0" borderId="0" xfId="0" applyNumberFormat="1" applyFont="1"/>
    <xf numFmtId="0" fontId="1" fillId="0" borderId="0" xfId="0" applyFont="1"/>
    <xf numFmtId="49" fontId="4" fillId="0" borderId="0" xfId="0" quotePrefix="1" applyNumberFormat="1" applyFont="1" applyAlignment="1">
      <alignment wrapText="1"/>
    </xf>
    <xf numFmtId="170" fontId="4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9362E-D7D3-44DF-96B8-4DAD1999591F}">
  <dimension ref="A1:D19"/>
  <sheetViews>
    <sheetView topLeftCell="A2" workbookViewId="0"/>
  </sheetViews>
  <sheetFormatPr baseColWidth="10" defaultRowHeight="14.5" x14ac:dyDescent="0.35"/>
  <cols>
    <col min="1" max="1" width="28.1796875" customWidth="1"/>
    <col min="2" max="2" width="40" customWidth="1"/>
    <col min="3" max="3" width="80" customWidth="1"/>
    <col min="4" max="4" width="13.6328125" customWidth="1"/>
  </cols>
  <sheetData>
    <row r="1" spans="1:4" ht="36" customHeight="1" x14ac:dyDescent="0.35">
      <c r="A1" s="2" t="s">
        <v>0</v>
      </c>
      <c r="B1" s="3"/>
      <c r="C1" s="3"/>
      <c r="D1" s="3"/>
    </row>
    <row r="2" spans="1:4" ht="30" customHeight="1" x14ac:dyDescent="0.35">
      <c r="A2" s="1" t="s">
        <v>1</v>
      </c>
      <c r="B2" s="1"/>
      <c r="C2" s="1"/>
      <c r="D2" s="1"/>
    </row>
    <row r="3" spans="1:4" x14ac:dyDescent="0.35">
      <c r="A3" s="3" t="s">
        <v>2</v>
      </c>
      <c r="B3" s="3" t="s">
        <v>3</v>
      </c>
      <c r="C3" s="3" t="s">
        <v>4</v>
      </c>
      <c r="D3" s="3" t="s">
        <v>590</v>
      </c>
    </row>
    <row r="4" spans="1:4" x14ac:dyDescent="0.35">
      <c r="A4" s="1" t="s">
        <v>5</v>
      </c>
      <c r="B4" s="1" t="s">
        <v>6</v>
      </c>
      <c r="C4" s="1" t="s">
        <v>7</v>
      </c>
      <c r="D4" s="1">
        <v>12</v>
      </c>
    </row>
    <row r="5" spans="1:4" x14ac:dyDescent="0.35">
      <c r="A5" s="1" t="s">
        <v>8</v>
      </c>
      <c r="B5" s="1" t="s">
        <v>9</v>
      </c>
      <c r="C5" s="1" t="s">
        <v>10</v>
      </c>
      <c r="D5" s="1">
        <v>18</v>
      </c>
    </row>
    <row r="6" spans="1:4" x14ac:dyDescent="0.35">
      <c r="A6" s="1" t="s">
        <v>11</v>
      </c>
      <c r="B6" s="1" t="s">
        <v>12</v>
      </c>
      <c r="C6" s="1" t="s">
        <v>13</v>
      </c>
      <c r="D6" s="1">
        <v>16</v>
      </c>
    </row>
    <row r="7" spans="1:4" x14ac:dyDescent="0.35">
      <c r="A7" s="1" t="s">
        <v>14</v>
      </c>
      <c r="B7" s="1" t="s">
        <v>15</v>
      </c>
      <c r="C7" s="1" t="s">
        <v>16</v>
      </c>
      <c r="D7" s="1">
        <v>15</v>
      </c>
    </row>
    <row r="8" spans="1:4" x14ac:dyDescent="0.35">
      <c r="A8" s="1" t="s">
        <v>17</v>
      </c>
      <c r="B8" s="1" t="s">
        <v>18</v>
      </c>
      <c r="C8" s="1" t="s">
        <v>19</v>
      </c>
      <c r="D8" s="1">
        <v>18</v>
      </c>
    </row>
    <row r="9" spans="1:4" x14ac:dyDescent="0.35">
      <c r="A9" s="1" t="s">
        <v>20</v>
      </c>
      <c r="B9" s="1" t="s">
        <v>21</v>
      </c>
      <c r="C9" s="1" t="s">
        <v>22</v>
      </c>
      <c r="D9" s="1">
        <v>18</v>
      </c>
    </row>
    <row r="10" spans="1:4" x14ac:dyDescent="0.35">
      <c r="A10" s="1" t="s">
        <v>23</v>
      </c>
      <c r="B10" s="1" t="s">
        <v>24</v>
      </c>
      <c r="C10" s="1" t="s">
        <v>25</v>
      </c>
      <c r="D10" s="1">
        <v>14</v>
      </c>
    </row>
    <row r="11" spans="1:4" x14ac:dyDescent="0.35">
      <c r="A11" s="1" t="s">
        <v>26</v>
      </c>
      <c r="B11" s="1" t="s">
        <v>27</v>
      </c>
      <c r="C11" s="1" t="s">
        <v>28</v>
      </c>
      <c r="D11" s="1">
        <v>15</v>
      </c>
    </row>
    <row r="12" spans="1:4" ht="28" customHeight="1" x14ac:dyDescent="0.35">
      <c r="A12" s="1" t="s">
        <v>29</v>
      </c>
      <c r="B12" s="1" t="s">
        <v>30</v>
      </c>
      <c r="C12" s="1" t="s">
        <v>31</v>
      </c>
      <c r="D12" s="1">
        <v>23</v>
      </c>
    </row>
    <row r="13" spans="1:4" ht="28" customHeight="1" x14ac:dyDescent="0.35">
      <c r="A13" s="1" t="s">
        <v>32</v>
      </c>
      <c r="B13" s="1" t="s">
        <v>33</v>
      </c>
      <c r="C13" s="1"/>
      <c r="D13" s="1"/>
    </row>
    <row r="14" spans="1:4" ht="28" customHeight="1" x14ac:dyDescent="0.35">
      <c r="A14" s="1" t="s">
        <v>34</v>
      </c>
      <c r="B14" s="1" t="s">
        <v>35</v>
      </c>
      <c r="C14" s="1"/>
      <c r="D14" s="1"/>
    </row>
    <row r="15" spans="1:4" ht="28" customHeight="1" x14ac:dyDescent="0.35">
      <c r="A15" s="1" t="s">
        <v>36</v>
      </c>
      <c r="B15" s="1" t="s">
        <v>37</v>
      </c>
      <c r="C15" s="1"/>
      <c r="D15" s="1"/>
    </row>
    <row r="16" spans="1:4" ht="28" customHeight="1" x14ac:dyDescent="0.35">
      <c r="A16" s="1" t="s">
        <v>38</v>
      </c>
      <c r="B16" s="1" t="s">
        <v>39</v>
      </c>
      <c r="C16" s="1"/>
      <c r="D16" s="1"/>
    </row>
    <row r="17" spans="1:3" ht="28" customHeight="1" x14ac:dyDescent="0.35">
      <c r="A17" s="21" t="s">
        <v>591</v>
      </c>
      <c r="B17" t="s">
        <v>592</v>
      </c>
      <c r="C17" t="s">
        <v>600</v>
      </c>
    </row>
    <row r="18" spans="1:3" ht="28" customHeight="1" x14ac:dyDescent="0.35">
      <c r="A18" s="21" t="s">
        <v>593</v>
      </c>
      <c r="B18" t="s">
        <v>594</v>
      </c>
      <c r="C18" t="s">
        <v>595</v>
      </c>
    </row>
    <row r="19" spans="1:3" ht="28" customHeight="1" x14ac:dyDescent="0.35">
      <c r="A19" s="21" t="s">
        <v>596</v>
      </c>
      <c r="B19" t="s">
        <v>597</v>
      </c>
      <c r="C19" t="s">
        <v>598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3A186-1C7E-4C33-A302-3832E06DE4DA}">
  <dimension ref="A1:M15"/>
  <sheetViews>
    <sheetView workbookViewId="0"/>
  </sheetViews>
  <sheetFormatPr baseColWidth="10" defaultRowHeight="14.5" x14ac:dyDescent="0.35"/>
  <cols>
    <col min="1" max="1" width="4.1796875" bestFit="1" customWidth="1"/>
    <col min="2" max="2" width="7.08984375" bestFit="1" customWidth="1"/>
    <col min="3" max="3" width="8.08984375" bestFit="1" customWidth="1"/>
    <col min="4" max="4" width="6.81640625" bestFit="1" customWidth="1"/>
    <col min="5" max="5" width="9.54296875" bestFit="1" customWidth="1"/>
    <col min="6" max="6" width="10.81640625" bestFit="1" customWidth="1"/>
    <col min="8" max="8" width="5.7265625" bestFit="1" customWidth="1"/>
    <col min="9" max="9" width="7.08984375" bestFit="1" customWidth="1"/>
    <col min="10" max="10" width="6.7265625" bestFit="1" customWidth="1"/>
    <col min="12" max="12" width="24.54296875" customWidth="1"/>
    <col min="13" max="13" width="38.1796875" customWidth="1"/>
  </cols>
  <sheetData>
    <row r="1" spans="1:13" ht="26" customHeight="1" x14ac:dyDescent="0.35">
      <c r="A1" s="3" t="s">
        <v>40</v>
      </c>
      <c r="B1" s="3" t="s">
        <v>41</v>
      </c>
      <c r="C1" s="3" t="s">
        <v>42</v>
      </c>
      <c r="D1" s="3" t="s">
        <v>43</v>
      </c>
      <c r="E1" s="3" t="s">
        <v>44</v>
      </c>
      <c r="F1" s="3" t="s">
        <v>20</v>
      </c>
      <c r="G1" s="1"/>
      <c r="H1" s="3" t="s">
        <v>68</v>
      </c>
      <c r="I1" s="3" t="s">
        <v>41</v>
      </c>
      <c r="J1" s="3" t="s">
        <v>69</v>
      </c>
      <c r="K1" s="1"/>
      <c r="L1" s="3" t="s">
        <v>74</v>
      </c>
      <c r="M1" s="3" t="s">
        <v>75</v>
      </c>
    </row>
    <row r="2" spans="1:13" x14ac:dyDescent="0.35">
      <c r="A2" s="7" t="s">
        <v>45</v>
      </c>
      <c r="B2" s="7" t="s">
        <v>46</v>
      </c>
      <c r="C2" s="7" t="s">
        <v>47</v>
      </c>
      <c r="D2" s="7">
        <v>10</v>
      </c>
      <c r="E2" s="8">
        <v>2.5</v>
      </c>
      <c r="F2" s="9">
        <v>45306</v>
      </c>
      <c r="G2" s="1"/>
      <c r="H2" s="7" t="s">
        <v>70</v>
      </c>
      <c r="I2" s="7" t="s">
        <v>46</v>
      </c>
      <c r="J2" s="10">
        <v>1.1000000000000001</v>
      </c>
      <c r="K2" s="1"/>
      <c r="L2" s="7" t="s">
        <v>76</v>
      </c>
      <c r="M2" s="12" t="s">
        <v>77</v>
      </c>
    </row>
    <row r="3" spans="1:13" x14ac:dyDescent="0.35">
      <c r="A3" s="7" t="s">
        <v>48</v>
      </c>
      <c r="B3" s="7" t="s">
        <v>49</v>
      </c>
      <c r="C3" s="7" t="s">
        <v>50</v>
      </c>
      <c r="D3" s="7">
        <v>0</v>
      </c>
      <c r="E3" s="8">
        <v>3.2</v>
      </c>
      <c r="F3" s="9">
        <v>45351</v>
      </c>
      <c r="G3" s="1"/>
      <c r="H3" s="7" t="s">
        <v>71</v>
      </c>
      <c r="I3" s="7" t="s">
        <v>49</v>
      </c>
      <c r="J3" s="10">
        <v>0.9</v>
      </c>
      <c r="K3" s="1"/>
      <c r="L3" s="7" t="s">
        <v>78</v>
      </c>
      <c r="M3" s="12" t="s">
        <v>79</v>
      </c>
    </row>
    <row r="4" spans="1:13" x14ac:dyDescent="0.35">
      <c r="A4" s="7" t="s">
        <v>51</v>
      </c>
      <c r="B4" s="7" t="s">
        <v>46</v>
      </c>
      <c r="C4" s="7" t="s">
        <v>52</v>
      </c>
      <c r="D4" s="7">
        <v>7</v>
      </c>
      <c r="E4" s="8">
        <v>4.75</v>
      </c>
      <c r="F4" s="9">
        <v>45382</v>
      </c>
      <c r="G4" s="1"/>
      <c r="H4" s="7" t="s">
        <v>72</v>
      </c>
      <c r="I4" s="7" t="s">
        <v>58</v>
      </c>
      <c r="J4" s="10">
        <v>1.05</v>
      </c>
      <c r="K4" s="1"/>
      <c r="L4" s="7" t="s">
        <v>80</v>
      </c>
      <c r="M4" s="12" t="s">
        <v>81</v>
      </c>
    </row>
    <row r="5" spans="1:13" x14ac:dyDescent="0.35">
      <c r="A5" s="7" t="s">
        <v>53</v>
      </c>
      <c r="B5" s="7" t="s">
        <v>54</v>
      </c>
      <c r="C5" s="7" t="s">
        <v>47</v>
      </c>
      <c r="D5" s="7">
        <v>-2</v>
      </c>
      <c r="E5" s="8">
        <v>2.5</v>
      </c>
      <c r="F5" s="9">
        <v>45383</v>
      </c>
      <c r="G5" s="1"/>
      <c r="H5" s="7" t="s">
        <v>73</v>
      </c>
      <c r="I5" s="7" t="s">
        <v>54</v>
      </c>
      <c r="J5" s="10">
        <v>1.2</v>
      </c>
      <c r="K5" s="1"/>
      <c r="L5" s="7" t="s">
        <v>82</v>
      </c>
      <c r="M5" s="12" t="s">
        <v>83</v>
      </c>
    </row>
    <row r="6" spans="1:13" x14ac:dyDescent="0.35">
      <c r="A6" s="7" t="s">
        <v>55</v>
      </c>
      <c r="B6" s="7" t="s">
        <v>49</v>
      </c>
      <c r="C6" s="7" t="s">
        <v>56</v>
      </c>
      <c r="D6" s="7">
        <v>12</v>
      </c>
      <c r="E6" s="8">
        <v>5.0999999999999996</v>
      </c>
      <c r="F6" s="9">
        <v>45422</v>
      </c>
      <c r="G6" s="1"/>
      <c r="H6" s="1"/>
      <c r="I6" s="1"/>
      <c r="J6" s="1"/>
      <c r="K6" s="1"/>
      <c r="L6" s="7" t="s">
        <v>84</v>
      </c>
      <c r="M6" s="12" t="s">
        <v>85</v>
      </c>
    </row>
    <row r="7" spans="1:13" x14ac:dyDescent="0.35">
      <c r="A7" s="7" t="s">
        <v>57</v>
      </c>
      <c r="B7" s="7" t="s">
        <v>58</v>
      </c>
      <c r="C7" s="7" t="s">
        <v>50</v>
      </c>
      <c r="D7" s="7">
        <v>5</v>
      </c>
      <c r="E7" s="8">
        <v>3.2</v>
      </c>
      <c r="F7" s="9">
        <v>45473</v>
      </c>
      <c r="G7" s="1"/>
      <c r="H7" s="1"/>
      <c r="I7" s="1"/>
      <c r="J7" s="1"/>
      <c r="K7" s="1"/>
      <c r="L7" s="7" t="s">
        <v>86</v>
      </c>
      <c r="M7" s="12" t="s">
        <v>87</v>
      </c>
    </row>
    <row r="8" spans="1:13" x14ac:dyDescent="0.35">
      <c r="A8" s="7" t="s">
        <v>59</v>
      </c>
      <c r="B8" s="7" t="s">
        <v>46</v>
      </c>
      <c r="C8" s="7" t="s">
        <v>60</v>
      </c>
      <c r="D8" s="7">
        <v>15</v>
      </c>
      <c r="E8" s="8">
        <v>1.99</v>
      </c>
      <c r="F8" s="9">
        <v>45477</v>
      </c>
      <c r="G8" s="1"/>
      <c r="H8" s="1"/>
      <c r="I8" s="1"/>
      <c r="J8" s="1"/>
      <c r="K8" s="1"/>
      <c r="L8" s="7" t="s">
        <v>88</v>
      </c>
      <c r="M8" s="12">
        <v>123</v>
      </c>
    </row>
    <row r="9" spans="1:13" x14ac:dyDescent="0.35">
      <c r="A9" s="7" t="s">
        <v>61</v>
      </c>
      <c r="B9" s="7" t="s">
        <v>54</v>
      </c>
      <c r="C9" s="7" t="s">
        <v>56</v>
      </c>
      <c r="D9" s="7">
        <v>8</v>
      </c>
      <c r="E9" s="8">
        <v>5.0999999999999996</v>
      </c>
      <c r="F9" s="9">
        <v>45519</v>
      </c>
      <c r="G9" s="1"/>
      <c r="H9" s="1"/>
      <c r="I9" s="1"/>
      <c r="J9" s="1"/>
      <c r="K9" s="1"/>
      <c r="L9" s="7" t="s">
        <v>89</v>
      </c>
      <c r="M9" s="12" t="s">
        <v>90</v>
      </c>
    </row>
    <row r="10" spans="1:13" x14ac:dyDescent="0.35">
      <c r="A10" s="7" t="s">
        <v>62</v>
      </c>
      <c r="B10" s="7" t="s">
        <v>58</v>
      </c>
      <c r="C10" s="7" t="s">
        <v>47</v>
      </c>
      <c r="D10" s="7"/>
      <c r="E10" s="8">
        <v>2.5</v>
      </c>
      <c r="F10" s="9">
        <v>45536</v>
      </c>
      <c r="G10" s="1"/>
      <c r="H10" s="1"/>
      <c r="I10" s="1"/>
      <c r="J10" s="1"/>
      <c r="K10" s="1"/>
      <c r="L10" s="7" t="s">
        <v>91</v>
      </c>
      <c r="M10" s="12">
        <f>SUM(1,2)</f>
        <v>3</v>
      </c>
    </row>
    <row r="11" spans="1:13" x14ac:dyDescent="0.35">
      <c r="A11" s="7" t="s">
        <v>63</v>
      </c>
      <c r="B11" s="7" t="s">
        <v>46</v>
      </c>
      <c r="C11" s="7" t="s">
        <v>64</v>
      </c>
      <c r="D11" s="7">
        <v>20</v>
      </c>
      <c r="E11" s="8">
        <v>0</v>
      </c>
      <c r="F11" s="9">
        <v>45657</v>
      </c>
      <c r="G11" s="1"/>
      <c r="H11" s="1"/>
      <c r="I11" s="1"/>
      <c r="J11" s="1"/>
      <c r="K11" s="1"/>
      <c r="L11" s="7" t="s">
        <v>92</v>
      </c>
      <c r="M11" s="12" t="s">
        <v>93</v>
      </c>
    </row>
    <row r="12" spans="1:13" x14ac:dyDescent="0.35">
      <c r="A12" s="7" t="s">
        <v>65</v>
      </c>
      <c r="B12" s="7" t="s">
        <v>49</v>
      </c>
      <c r="C12" s="7" t="s">
        <v>47</v>
      </c>
      <c r="D12" s="7">
        <v>3</v>
      </c>
      <c r="E12" s="8">
        <v>2.5</v>
      </c>
      <c r="F12" s="9">
        <v>45658</v>
      </c>
      <c r="G12" s="1"/>
      <c r="H12" s="1"/>
      <c r="I12" s="1"/>
      <c r="J12" s="1"/>
      <c r="K12" s="1"/>
      <c r="L12" s="1"/>
      <c r="M12" s="1"/>
    </row>
    <row r="13" spans="1:13" x14ac:dyDescent="0.35">
      <c r="A13" s="7" t="s">
        <v>66</v>
      </c>
      <c r="B13" s="7" t="s">
        <v>58</v>
      </c>
      <c r="C13" s="7" t="s">
        <v>67</v>
      </c>
      <c r="D13" s="7">
        <v>1</v>
      </c>
      <c r="E13" s="8">
        <v>0.1</v>
      </c>
      <c r="F13" s="9">
        <v>45702</v>
      </c>
      <c r="G13" s="1"/>
      <c r="H13" s="1"/>
      <c r="I13" s="1"/>
      <c r="J13" s="1"/>
      <c r="K13" s="1"/>
      <c r="L13" s="1"/>
      <c r="M13" s="1"/>
    </row>
    <row r="14" spans="1:13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128C5-0FEF-4BD9-BA0F-F2A05E8B3225}">
  <dimension ref="A1:E19"/>
  <sheetViews>
    <sheetView workbookViewId="0"/>
  </sheetViews>
  <sheetFormatPr baseColWidth="10" defaultRowHeight="14.5" x14ac:dyDescent="0.35"/>
  <cols>
    <col min="1" max="1" width="12.7265625" customWidth="1"/>
    <col min="2" max="2" width="23.6328125" customWidth="1"/>
    <col min="3" max="3" width="47.26953125" customWidth="1"/>
    <col min="4" max="5" width="34.54296875" customWidth="1"/>
  </cols>
  <sheetData>
    <row r="1" spans="1:5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</row>
    <row r="2" spans="1:5" x14ac:dyDescent="0.35">
      <c r="A2" s="1" t="s">
        <v>99</v>
      </c>
      <c r="B2" s="1" t="s">
        <v>100</v>
      </c>
      <c r="C2" s="1" t="s">
        <v>101</v>
      </c>
      <c r="D2" s="20">
        <f>SUM(Grunddaten!D2:D13)</f>
        <v>79</v>
      </c>
      <c r="E2" s="1" t="s">
        <v>102</v>
      </c>
    </row>
    <row r="3" spans="1:5" x14ac:dyDescent="0.35">
      <c r="A3" s="1" t="s">
        <v>103</v>
      </c>
      <c r="B3" s="1" t="s">
        <v>104</v>
      </c>
      <c r="C3" s="1" t="s">
        <v>105</v>
      </c>
      <c r="D3" s="20">
        <f>PRODUCT(Grunddaten!D2,Grunddaten!D4)</f>
        <v>70</v>
      </c>
      <c r="E3" s="1" t="s">
        <v>106</v>
      </c>
    </row>
    <row r="4" spans="1:5" x14ac:dyDescent="0.35">
      <c r="A4" s="1" t="s">
        <v>107</v>
      </c>
      <c r="B4" s="1" t="s">
        <v>108</v>
      </c>
      <c r="C4" s="1" t="s">
        <v>109</v>
      </c>
      <c r="D4" s="5">
        <f>SUMPRODUCT(Grunddaten!D2:D13,Grunddaten!E2:E13)</f>
        <v>208.69999999999996</v>
      </c>
      <c r="E4" s="1" t="s">
        <v>110</v>
      </c>
    </row>
    <row r="5" spans="1:5" x14ac:dyDescent="0.35">
      <c r="A5" s="1" t="s">
        <v>111</v>
      </c>
      <c r="B5" s="1" t="s">
        <v>112</v>
      </c>
      <c r="C5" s="1" t="s">
        <v>113</v>
      </c>
      <c r="D5" s="20">
        <f>ABS(Grunddaten!D5)</f>
        <v>2</v>
      </c>
      <c r="E5" s="1" t="s">
        <v>114</v>
      </c>
    </row>
    <row r="6" spans="1:5" x14ac:dyDescent="0.35">
      <c r="A6" s="1" t="s">
        <v>115</v>
      </c>
      <c r="B6" s="1" t="s">
        <v>116</v>
      </c>
      <c r="C6" s="1" t="s">
        <v>117</v>
      </c>
      <c r="D6" s="5">
        <f>ROUND(Grunddaten!E4,1)</f>
        <v>4.8</v>
      </c>
      <c r="E6" s="1" t="s">
        <v>118</v>
      </c>
    </row>
    <row r="7" spans="1:5" x14ac:dyDescent="0.35">
      <c r="A7" s="1" t="s">
        <v>119</v>
      </c>
      <c r="B7" s="1" t="s">
        <v>120</v>
      </c>
      <c r="C7" s="1" t="s">
        <v>121</v>
      </c>
      <c r="D7" s="20">
        <f>ROUNDUP(Grunddaten!E4,0)</f>
        <v>5</v>
      </c>
      <c r="E7" s="1" t="s">
        <v>122</v>
      </c>
    </row>
    <row r="8" spans="1:5" x14ac:dyDescent="0.35">
      <c r="A8" s="1" t="s">
        <v>123</v>
      </c>
      <c r="B8" s="1" t="s">
        <v>124</v>
      </c>
      <c r="C8" s="1" t="s">
        <v>125</v>
      </c>
      <c r="D8" s="20">
        <f>ROUNDDOWN(Grunddaten!E4,0)</f>
        <v>4</v>
      </c>
      <c r="E8" s="1" t="s">
        <v>126</v>
      </c>
    </row>
    <row r="9" spans="1:5" x14ac:dyDescent="0.35">
      <c r="A9" s="1" t="s">
        <v>127</v>
      </c>
      <c r="B9" s="1" t="s">
        <v>128</v>
      </c>
      <c r="C9" s="1" t="s">
        <v>129</v>
      </c>
      <c r="D9" s="20">
        <f>INT(Grunddaten!D5/3)</f>
        <v>-1</v>
      </c>
      <c r="E9" s="1" t="s">
        <v>130</v>
      </c>
    </row>
    <row r="10" spans="1:5" x14ac:dyDescent="0.35">
      <c r="A10" s="1" t="s">
        <v>131</v>
      </c>
      <c r="B10" s="1" t="s">
        <v>132</v>
      </c>
      <c r="C10" s="1" t="s">
        <v>133</v>
      </c>
      <c r="D10" s="20">
        <f>MOD(Grunddaten!D2,3)</f>
        <v>1</v>
      </c>
      <c r="E10" s="1" t="s">
        <v>134</v>
      </c>
    </row>
    <row r="11" spans="1:5" x14ac:dyDescent="0.35">
      <c r="A11" s="1" t="s">
        <v>135</v>
      </c>
      <c r="B11" s="1" t="s">
        <v>136</v>
      </c>
      <c r="C11" s="1" t="s">
        <v>137</v>
      </c>
      <c r="D11" s="20">
        <f>POWER(Grunddaten!D4,2)</f>
        <v>49</v>
      </c>
      <c r="E11" s="1" t="s">
        <v>138</v>
      </c>
    </row>
    <row r="12" spans="1:5" x14ac:dyDescent="0.35">
      <c r="A12" s="1" t="s">
        <v>139</v>
      </c>
      <c r="B12" s="1" t="s">
        <v>140</v>
      </c>
      <c r="C12" s="1" t="s">
        <v>141</v>
      </c>
      <c r="D12" s="5">
        <f>SQRT(Grunddaten!D2)</f>
        <v>3.1622776601683795</v>
      </c>
      <c r="E12" s="1" t="s">
        <v>142</v>
      </c>
    </row>
    <row r="13" spans="1:5" x14ac:dyDescent="0.35">
      <c r="A13" s="1" t="s">
        <v>143</v>
      </c>
      <c r="B13" s="1" t="s">
        <v>144</v>
      </c>
      <c r="C13" s="1" t="s">
        <v>145</v>
      </c>
      <c r="D13" s="20">
        <f>_xlfn.CEILING.MATH(Grunddaten!E4,0.5)</f>
        <v>5</v>
      </c>
      <c r="E13" s="1" t="s">
        <v>146</v>
      </c>
    </row>
    <row r="14" spans="1:5" x14ac:dyDescent="0.35">
      <c r="A14" s="1" t="s">
        <v>147</v>
      </c>
      <c r="B14" s="1" t="s">
        <v>148</v>
      </c>
      <c r="C14" s="1" t="s">
        <v>149</v>
      </c>
      <c r="D14" s="20">
        <f>_xlfn.FLOOR.MATH(Grunddaten!E4,0.5)</f>
        <v>4.5</v>
      </c>
      <c r="E14" s="1" t="s">
        <v>146</v>
      </c>
    </row>
    <row r="15" spans="1:5" x14ac:dyDescent="0.35">
      <c r="A15" s="1" t="s">
        <v>150</v>
      </c>
      <c r="B15" s="1" t="s">
        <v>151</v>
      </c>
      <c r="C15" s="1" t="s">
        <v>152</v>
      </c>
      <c r="D15" s="20">
        <f>TRUNC(Grunddaten!E4,1)</f>
        <v>4.7</v>
      </c>
      <c r="E15" s="1" t="s">
        <v>142</v>
      </c>
    </row>
    <row r="16" spans="1:5" x14ac:dyDescent="0.35">
      <c r="A16" s="1" t="s">
        <v>153</v>
      </c>
      <c r="B16" s="1" t="s">
        <v>154</v>
      </c>
      <c r="C16" s="1" t="s">
        <v>155</v>
      </c>
      <c r="D16" s="5">
        <f>PI()</f>
        <v>3.1415926535897931</v>
      </c>
      <c r="E16" s="1" t="s">
        <v>156</v>
      </c>
    </row>
    <row r="17" spans="1:5" x14ac:dyDescent="0.35">
      <c r="A17" s="1" t="s">
        <v>157</v>
      </c>
      <c r="B17" s="1" t="s">
        <v>158</v>
      </c>
      <c r="C17" s="1" t="s">
        <v>159</v>
      </c>
      <c r="D17" s="5">
        <f>SIN(RADIANS(30))</f>
        <v>0.49999999999999994</v>
      </c>
      <c r="E17" s="1" t="s">
        <v>160</v>
      </c>
    </row>
    <row r="18" spans="1:5" x14ac:dyDescent="0.35">
      <c r="A18" s="1" t="s">
        <v>161</v>
      </c>
      <c r="B18" s="1" t="s">
        <v>162</v>
      </c>
      <c r="C18" s="1" t="s">
        <v>163</v>
      </c>
      <c r="D18" s="5">
        <f>LN(EXP(2))</f>
        <v>2</v>
      </c>
      <c r="E18" s="1" t="s">
        <v>164</v>
      </c>
    </row>
    <row r="19" spans="1:5" x14ac:dyDescent="0.35">
      <c r="A19" s="1" t="s">
        <v>165</v>
      </c>
      <c r="B19" s="1" t="s">
        <v>166</v>
      </c>
      <c r="C19" s="1" t="s">
        <v>167</v>
      </c>
      <c r="D19" s="20">
        <f>Grunddaten!D2*Grunddaten!$E$2</f>
        <v>25</v>
      </c>
      <c r="E19" s="1" t="s">
        <v>168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39152-5647-4E0B-9A73-AD092DE96282}">
  <dimension ref="A1:E17"/>
  <sheetViews>
    <sheetView workbookViewId="0"/>
  </sheetViews>
  <sheetFormatPr baseColWidth="10" defaultRowHeight="14.5" x14ac:dyDescent="0.35"/>
  <cols>
    <col min="1" max="1" width="12.7265625" customWidth="1"/>
    <col min="2" max="2" width="23.6328125" customWidth="1"/>
    <col min="3" max="3" width="47.26953125" customWidth="1"/>
    <col min="4" max="5" width="34.54296875" customWidth="1"/>
  </cols>
  <sheetData>
    <row r="1" spans="1:5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</row>
    <row r="2" spans="1:5" x14ac:dyDescent="0.35">
      <c r="A2" s="1" t="s">
        <v>169</v>
      </c>
      <c r="B2" s="1" t="s">
        <v>170</v>
      </c>
      <c r="C2" s="1" t="s">
        <v>171</v>
      </c>
      <c r="D2" s="20">
        <f>COUNT(Grunddaten!D2:D13)</f>
        <v>11</v>
      </c>
      <c r="E2" s="1" t="s">
        <v>172</v>
      </c>
    </row>
    <row r="3" spans="1:5" x14ac:dyDescent="0.35">
      <c r="A3" s="1" t="s">
        <v>173</v>
      </c>
      <c r="B3" s="1" t="s">
        <v>174</v>
      </c>
      <c r="C3" s="1" t="s">
        <v>175</v>
      </c>
      <c r="D3" s="20">
        <f>COUNTA(Grunddaten!C2:C13)</f>
        <v>12</v>
      </c>
      <c r="E3" s="1" t="s">
        <v>176</v>
      </c>
    </row>
    <row r="4" spans="1:5" x14ac:dyDescent="0.35">
      <c r="A4" s="1" t="s">
        <v>177</v>
      </c>
      <c r="B4" s="1" t="s">
        <v>178</v>
      </c>
      <c r="C4" s="1" t="s">
        <v>179</v>
      </c>
      <c r="D4" s="20">
        <f>COUNTBLANK(Grunddaten!D2:D13)</f>
        <v>1</v>
      </c>
      <c r="E4" s="1" t="s">
        <v>180</v>
      </c>
    </row>
    <row r="5" spans="1:5" x14ac:dyDescent="0.35">
      <c r="A5" s="1" t="s">
        <v>181</v>
      </c>
      <c r="B5" s="1" t="s">
        <v>182</v>
      </c>
      <c r="C5" s="1" t="s">
        <v>183</v>
      </c>
      <c r="D5" s="5">
        <f>AVERAGE(Grunddaten!D2:D13)</f>
        <v>7.1818181818181817</v>
      </c>
      <c r="E5" s="1" t="s">
        <v>184</v>
      </c>
    </row>
    <row r="6" spans="1:5" x14ac:dyDescent="0.35">
      <c r="A6" s="1" t="s">
        <v>185</v>
      </c>
      <c r="B6" s="1" t="s">
        <v>186</v>
      </c>
      <c r="C6" s="1" t="s">
        <v>187</v>
      </c>
      <c r="D6" s="5">
        <f>AVERAGEIF(Grunddaten!D2:D13,"&lt;&gt;0")</f>
        <v>7.9</v>
      </c>
      <c r="E6" s="1" t="s">
        <v>188</v>
      </c>
    </row>
    <row r="7" spans="1:5" x14ac:dyDescent="0.35">
      <c r="A7" s="1" t="s">
        <v>189</v>
      </c>
      <c r="B7" s="1" t="s">
        <v>190</v>
      </c>
      <c r="C7" s="1" t="s">
        <v>191</v>
      </c>
      <c r="D7" s="5">
        <f>MEDIAN(Grunddaten!D2:D13)</f>
        <v>7</v>
      </c>
      <c r="E7" s="1" t="s">
        <v>192</v>
      </c>
    </row>
    <row r="8" spans="1:5" x14ac:dyDescent="0.35">
      <c r="A8" s="1" t="s">
        <v>193</v>
      </c>
      <c r="B8" s="1" t="s">
        <v>194</v>
      </c>
      <c r="C8" s="1" t="s">
        <v>195</v>
      </c>
      <c r="D8" s="20">
        <f>_xlfn.MODE.SNGL(Grunddaten!E2:E13)</f>
        <v>2.5</v>
      </c>
      <c r="E8" s="1" t="s">
        <v>196</v>
      </c>
    </row>
    <row r="9" spans="1:5" x14ac:dyDescent="0.35">
      <c r="A9" s="1" t="s">
        <v>197</v>
      </c>
      <c r="B9" s="1" t="s">
        <v>198</v>
      </c>
      <c r="C9" s="1" t="s">
        <v>199</v>
      </c>
      <c r="D9" s="20">
        <f>MIN(Grunddaten!D2:D13)</f>
        <v>-2</v>
      </c>
      <c r="E9" s="1" t="s">
        <v>200</v>
      </c>
    </row>
    <row r="10" spans="1:5" x14ac:dyDescent="0.35">
      <c r="A10" s="1" t="s">
        <v>201</v>
      </c>
      <c r="B10" s="1" t="s">
        <v>202</v>
      </c>
      <c r="C10" s="1" t="s">
        <v>203</v>
      </c>
      <c r="D10" s="20">
        <f>MAX(Grunddaten!D2:D13)</f>
        <v>20</v>
      </c>
      <c r="E10" s="1" t="s">
        <v>204</v>
      </c>
    </row>
    <row r="11" spans="1:5" x14ac:dyDescent="0.35">
      <c r="A11" s="1" t="s">
        <v>205</v>
      </c>
      <c r="B11" s="1" t="s">
        <v>206</v>
      </c>
      <c r="C11" s="1" t="s">
        <v>207</v>
      </c>
      <c r="D11" s="20">
        <f>LARGE(Grunddaten!D2:D13,2)</f>
        <v>15</v>
      </c>
      <c r="E11" s="1" t="s">
        <v>208</v>
      </c>
    </row>
    <row r="12" spans="1:5" x14ac:dyDescent="0.35">
      <c r="A12" s="1" t="s">
        <v>209</v>
      </c>
      <c r="B12" s="1" t="s">
        <v>210</v>
      </c>
      <c r="C12" s="1" t="s">
        <v>211</v>
      </c>
      <c r="D12" s="20">
        <f>SMALL(Grunddaten!D2:D13,2)</f>
        <v>0</v>
      </c>
      <c r="E12" s="1" t="s">
        <v>208</v>
      </c>
    </row>
    <row r="13" spans="1:5" x14ac:dyDescent="0.35">
      <c r="A13" s="1" t="s">
        <v>212</v>
      </c>
      <c r="B13" s="1" t="s">
        <v>213</v>
      </c>
      <c r="C13" s="1" t="s">
        <v>214</v>
      </c>
      <c r="D13" s="5">
        <f>_xlfn.STDEV.S(Grunddaten!D2:D13)</f>
        <v>6.7352532516332566</v>
      </c>
      <c r="E13" s="1" t="s">
        <v>215</v>
      </c>
    </row>
    <row r="14" spans="1:5" x14ac:dyDescent="0.35">
      <c r="A14" s="1" t="s">
        <v>216</v>
      </c>
      <c r="B14" s="1" t="s">
        <v>217</v>
      </c>
      <c r="C14" s="1" t="s">
        <v>218</v>
      </c>
      <c r="D14" s="5">
        <f>_xlfn.VAR.P(Grunddaten!D2:D13)</f>
        <v>41.239669421487605</v>
      </c>
      <c r="E14" s="1" t="s">
        <v>219</v>
      </c>
    </row>
    <row r="15" spans="1:5" x14ac:dyDescent="0.35">
      <c r="A15" s="1" t="s">
        <v>220</v>
      </c>
      <c r="B15" s="1" t="s">
        <v>221</v>
      </c>
      <c r="C15" s="1" t="s">
        <v>222</v>
      </c>
      <c r="D15" s="5">
        <f>_xlfn.PERCENTILE.INC(Grunddaten!D2:D13,0.75)</f>
        <v>11</v>
      </c>
      <c r="E15" s="1" t="s">
        <v>223</v>
      </c>
    </row>
    <row r="16" spans="1:5" x14ac:dyDescent="0.35">
      <c r="A16" s="1" t="s">
        <v>224</v>
      </c>
      <c r="B16" s="1" t="s">
        <v>225</v>
      </c>
      <c r="C16" s="1" t="s">
        <v>226</v>
      </c>
      <c r="D16" s="20">
        <f>_xlfn.RANK.EQ(Grunddaten!D2,Grunddaten!D2:D13,0)</f>
        <v>4</v>
      </c>
      <c r="E16" s="1" t="s">
        <v>227</v>
      </c>
    </row>
    <row r="17" spans="1:5" x14ac:dyDescent="0.35">
      <c r="A17" s="1" t="s">
        <v>228</v>
      </c>
      <c r="B17" s="1" t="s">
        <v>229</v>
      </c>
      <c r="C17" s="1" t="s">
        <v>230</v>
      </c>
      <c r="D17" s="5">
        <f>CORREL(Grunddaten!D2:D13,Grunddaten!E2:E13)</f>
        <v>-0.11433641547851571</v>
      </c>
      <c r="E17" s="1" t="s">
        <v>231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C239-E444-42F9-9D3C-8EAAA6561760}">
  <dimension ref="A1:E16"/>
  <sheetViews>
    <sheetView workbookViewId="0"/>
  </sheetViews>
  <sheetFormatPr baseColWidth="10" defaultRowHeight="14.5" x14ac:dyDescent="0.35"/>
  <cols>
    <col min="1" max="1" width="12.7265625" customWidth="1"/>
    <col min="2" max="2" width="23.6328125" customWidth="1"/>
    <col min="3" max="3" width="47.26953125" customWidth="1"/>
    <col min="4" max="5" width="34.54296875" customWidth="1"/>
  </cols>
  <sheetData>
    <row r="1" spans="1:5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</row>
    <row r="2" spans="1:5" x14ac:dyDescent="0.35">
      <c r="A2" s="1" t="s">
        <v>232</v>
      </c>
      <c r="B2" s="1" t="s">
        <v>233</v>
      </c>
      <c r="C2" s="1" t="s">
        <v>234</v>
      </c>
      <c r="D2" s="13" t="str">
        <f>IF(Grunddaten!D3&gt;0,"positiv","nicht positiv")</f>
        <v>nicht positiv</v>
      </c>
      <c r="E2" s="1" t="s">
        <v>235</v>
      </c>
    </row>
    <row r="3" spans="1:5" x14ac:dyDescent="0.35">
      <c r="A3" s="1" t="s">
        <v>236</v>
      </c>
      <c r="B3" s="1" t="s">
        <v>237</v>
      </c>
      <c r="C3" s="1" t="s">
        <v>238</v>
      </c>
      <c r="D3" s="13" t="b">
        <f>AND(Grunddaten!D2&gt;0,Grunddaten!E2&gt;0)</f>
        <v>1</v>
      </c>
      <c r="E3" s="1" t="s">
        <v>239</v>
      </c>
    </row>
    <row r="4" spans="1:5" x14ac:dyDescent="0.35">
      <c r="A4" s="1" t="s">
        <v>240</v>
      </c>
      <c r="B4" s="1" t="s">
        <v>241</v>
      </c>
      <c r="C4" s="1" t="s">
        <v>242</v>
      </c>
      <c r="D4" s="13" t="b">
        <f>OR(Grunddaten!D3=0,Grunddaten!E3=0)</f>
        <v>1</v>
      </c>
      <c r="E4" s="1" t="s">
        <v>239</v>
      </c>
    </row>
    <row r="5" spans="1:5" x14ac:dyDescent="0.35">
      <c r="A5" s="1" t="s">
        <v>243</v>
      </c>
      <c r="B5" s="1" t="s">
        <v>244</v>
      </c>
      <c r="C5" s="1" t="s">
        <v>245</v>
      </c>
      <c r="D5" s="13" t="b">
        <f>NOT(Grunddaten!D5&gt;0)</f>
        <v>1</v>
      </c>
      <c r="E5" s="1" t="s">
        <v>239</v>
      </c>
    </row>
    <row r="6" spans="1:5" x14ac:dyDescent="0.35">
      <c r="A6" s="1" t="s">
        <v>246</v>
      </c>
      <c r="B6" s="1" t="s">
        <v>247</v>
      </c>
      <c r="C6" s="1" t="s">
        <v>248</v>
      </c>
      <c r="D6" s="13" t="str">
        <f>IF(AND(Grunddaten!D2&gt;=10,Grunddaten!B2="Nord"),"OK","Nein")</f>
        <v>OK</v>
      </c>
      <c r="E6" s="1" t="s">
        <v>164</v>
      </c>
    </row>
    <row r="7" spans="1:5" x14ac:dyDescent="0.35">
      <c r="A7" s="1" t="s">
        <v>249</v>
      </c>
      <c r="B7" s="1" t="s">
        <v>250</v>
      </c>
      <c r="C7" s="1" t="s">
        <v>251</v>
      </c>
      <c r="D7" s="13" t="str">
        <f>IFERROR(Grunddaten!D2/Grunddaten!D3,"Division durch Null")</f>
        <v>Division durch Null</v>
      </c>
      <c r="E7" s="1" t="s">
        <v>252</v>
      </c>
    </row>
    <row r="8" spans="1:5" x14ac:dyDescent="0.35">
      <c r="A8" s="1" t="s">
        <v>253</v>
      </c>
      <c r="B8" s="1" t="s">
        <v>254</v>
      </c>
      <c r="C8" s="1" t="s">
        <v>255</v>
      </c>
      <c r="D8" s="13" t="str">
        <f>_xlfn.IFNA(MATCH("P99",Grunddaten!A2:A13,0),"kein Treffer")</f>
        <v>kein Treffer</v>
      </c>
      <c r="E8" s="1" t="s">
        <v>256</v>
      </c>
    </row>
    <row r="9" spans="1:5" x14ac:dyDescent="0.35">
      <c r="A9" s="1" t="s">
        <v>257</v>
      </c>
      <c r="B9" s="1" t="s">
        <v>258</v>
      </c>
      <c r="C9" s="1" t="s">
        <v>259</v>
      </c>
      <c r="D9" s="13" t="b">
        <f>ISBLANK(Grunddaten!D10)</f>
        <v>1</v>
      </c>
      <c r="E9" s="1" t="s">
        <v>260</v>
      </c>
    </row>
    <row r="10" spans="1:5" x14ac:dyDescent="0.35">
      <c r="A10" s="1" t="s">
        <v>261</v>
      </c>
      <c r="B10" s="1" t="s">
        <v>262</v>
      </c>
      <c r="C10" s="1" t="s">
        <v>263</v>
      </c>
      <c r="D10" s="13" t="b">
        <f>ISNUMBER(Grunddaten!E2)</f>
        <v>1</v>
      </c>
      <c r="E10" s="1" t="s">
        <v>264</v>
      </c>
    </row>
    <row r="11" spans="1:5" x14ac:dyDescent="0.35">
      <c r="A11" s="1" t="s">
        <v>265</v>
      </c>
      <c r="B11" s="1" t="s">
        <v>266</v>
      </c>
      <c r="C11" s="1" t="s">
        <v>267</v>
      </c>
      <c r="D11" s="13" t="b">
        <f>ISTEXT(Grunddaten!C2)</f>
        <v>1</v>
      </c>
      <c r="E11" s="1" t="s">
        <v>264</v>
      </c>
    </row>
    <row r="12" spans="1:5" x14ac:dyDescent="0.35">
      <c r="A12" s="1" t="s">
        <v>268</v>
      </c>
      <c r="B12" s="1" t="s">
        <v>269</v>
      </c>
      <c r="C12" s="1" t="s">
        <v>270</v>
      </c>
      <c r="D12" s="13" t="b">
        <f>ISERROR(1/0)</f>
        <v>1</v>
      </c>
      <c r="E12" s="1" t="s">
        <v>271</v>
      </c>
    </row>
    <row r="13" spans="1:5" x14ac:dyDescent="0.35">
      <c r="A13" s="1" t="s">
        <v>272</v>
      </c>
      <c r="B13" s="1" t="s">
        <v>273</v>
      </c>
      <c r="C13" s="1" t="s">
        <v>274</v>
      </c>
      <c r="D13" s="13" t="b">
        <f>EXACT("Apfel","apfel")</f>
        <v>0</v>
      </c>
      <c r="E13" s="1" t="s">
        <v>275</v>
      </c>
    </row>
    <row r="14" spans="1:5" x14ac:dyDescent="0.35">
      <c r="A14" s="1" t="s">
        <v>276</v>
      </c>
      <c r="B14" s="1" t="s">
        <v>277</v>
      </c>
      <c r="C14" s="1" t="s">
        <v>278</v>
      </c>
      <c r="D14" s="13" t="str" cm="1">
        <f t="array" ref="D14">_xlfn.SWITCH(Grunddaten!B2,"Nord","N","Süd","S","andere")</f>
        <v>N</v>
      </c>
      <c r="E14" s="1" t="s">
        <v>279</v>
      </c>
    </row>
    <row r="15" spans="1:5" x14ac:dyDescent="0.35">
      <c r="A15" s="1" t="s">
        <v>280</v>
      </c>
      <c r="B15" s="1" t="s">
        <v>281</v>
      </c>
      <c r="C15" s="1" t="s">
        <v>282</v>
      </c>
      <c r="D15" s="13" t="str" cm="1">
        <f t="array" ref="D15">_xlfn.IFS(Grunddaten!D2&lt;0,"negativ",Grunddaten!D2=0,"null",TRUE,"positiv")</f>
        <v>positiv</v>
      </c>
      <c r="E15" s="1" t="s">
        <v>283</v>
      </c>
    </row>
    <row r="16" spans="1:5" x14ac:dyDescent="0.35">
      <c r="A16" s="1" t="s">
        <v>284</v>
      </c>
      <c r="B16" s="1" t="s">
        <v>285</v>
      </c>
      <c r="C16" s="1" t="s">
        <v>286</v>
      </c>
      <c r="D16" s="13" t="str">
        <f>IF(ISBLANK(Grunddaten!D10),"LEER",Grunddaten!D10)</f>
        <v>LEER</v>
      </c>
      <c r="E16" s="1" t="s">
        <v>287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829E9-84BE-4CA3-8045-202475182813}">
  <dimension ref="A1:E19"/>
  <sheetViews>
    <sheetView workbookViewId="0"/>
  </sheetViews>
  <sheetFormatPr baseColWidth="10" defaultRowHeight="14.5" x14ac:dyDescent="0.35"/>
  <cols>
    <col min="1" max="1" width="12.7265625" customWidth="1"/>
    <col min="2" max="2" width="23.6328125" customWidth="1"/>
    <col min="3" max="3" width="47.26953125" customWidth="1"/>
    <col min="4" max="5" width="34.54296875" customWidth="1"/>
  </cols>
  <sheetData>
    <row r="1" spans="1:5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</row>
    <row r="2" spans="1:5" x14ac:dyDescent="0.35">
      <c r="A2" s="1" t="s">
        <v>288</v>
      </c>
      <c r="B2" s="1" t="s">
        <v>289</v>
      </c>
      <c r="C2" s="1" t="s">
        <v>290</v>
      </c>
      <c r="D2" s="20">
        <f>LEN(Grunddaten!M7)</f>
        <v>11</v>
      </c>
      <c r="E2" s="1" t="s">
        <v>291</v>
      </c>
    </row>
    <row r="3" spans="1:5" x14ac:dyDescent="0.35">
      <c r="A3" s="1" t="s">
        <v>292</v>
      </c>
      <c r="B3" s="1" t="s">
        <v>293</v>
      </c>
      <c r="C3" s="1" t="s">
        <v>294</v>
      </c>
      <c r="D3" s="20" t="str">
        <f>TRIM(Grunddaten!M2)</f>
        <v>Hallo Welt</v>
      </c>
      <c r="E3" s="1" t="s">
        <v>295</v>
      </c>
    </row>
    <row r="4" spans="1:5" x14ac:dyDescent="0.35">
      <c r="A4" s="1" t="s">
        <v>296</v>
      </c>
      <c r="B4" s="1" t="s">
        <v>297</v>
      </c>
      <c r="C4" s="1" t="s">
        <v>298</v>
      </c>
      <c r="D4" s="20" t="str">
        <f>LEFT(Grunddaten!C2,3)</f>
        <v>Apf</v>
      </c>
      <c r="E4" s="1" t="s">
        <v>299</v>
      </c>
    </row>
    <row r="5" spans="1:5" x14ac:dyDescent="0.35">
      <c r="A5" s="1" t="s">
        <v>300</v>
      </c>
      <c r="B5" s="1" t="s">
        <v>301</v>
      </c>
      <c r="C5" s="1" t="s">
        <v>302</v>
      </c>
      <c r="D5" s="20" t="str">
        <f>RIGHT(Grunddaten!C2,3)</f>
        <v>fel</v>
      </c>
      <c r="E5" s="1" t="s">
        <v>299</v>
      </c>
    </row>
    <row r="6" spans="1:5" x14ac:dyDescent="0.35">
      <c r="A6" s="1" t="s">
        <v>303</v>
      </c>
      <c r="B6" s="1" t="s">
        <v>304</v>
      </c>
      <c r="C6" s="1" t="s">
        <v>305</v>
      </c>
      <c r="D6" s="20" t="str">
        <f>MID(Grunddaten!C4,2,3)</f>
        <v>irs</v>
      </c>
      <c r="E6" s="1" t="s">
        <v>299</v>
      </c>
    </row>
    <row r="7" spans="1:5" x14ac:dyDescent="0.35">
      <c r="A7" s="1" t="s">
        <v>306</v>
      </c>
      <c r="B7" s="1" t="s">
        <v>307</v>
      </c>
      <c r="C7" s="1" t="s">
        <v>308</v>
      </c>
      <c r="D7" s="20" t="str">
        <f>UPPER(Grunddaten!C2)</f>
        <v>APFEL</v>
      </c>
      <c r="E7" s="1" t="s">
        <v>309</v>
      </c>
    </row>
    <row r="8" spans="1:5" x14ac:dyDescent="0.35">
      <c r="A8" s="1" t="s">
        <v>310</v>
      </c>
      <c r="B8" s="1" t="s">
        <v>311</v>
      </c>
      <c r="C8" s="1" t="s">
        <v>312</v>
      </c>
      <c r="D8" s="20" t="str">
        <f>LOWER(Grunddaten!C2)</f>
        <v>apfel</v>
      </c>
      <c r="E8" s="1" t="s">
        <v>309</v>
      </c>
    </row>
    <row r="9" spans="1:5" x14ac:dyDescent="0.35">
      <c r="A9" s="1" t="s">
        <v>313</v>
      </c>
      <c r="B9" s="1" t="s">
        <v>314</v>
      </c>
      <c r="C9" s="1" t="s">
        <v>315</v>
      </c>
      <c r="D9" s="20" t="str">
        <f>PROPER("hallo WELT")</f>
        <v>Hallo Welt</v>
      </c>
      <c r="E9" s="1" t="s">
        <v>309</v>
      </c>
    </row>
    <row r="10" spans="1:5" x14ac:dyDescent="0.35">
      <c r="A10" s="1" t="s">
        <v>316</v>
      </c>
      <c r="B10" s="1" t="s">
        <v>317</v>
      </c>
      <c r="C10" s="1" t="s">
        <v>318</v>
      </c>
      <c r="D10" s="20" t="str">
        <f>_xlfn.CONCAT(Grunddaten!A2," - ",Grunddaten!C2)</f>
        <v>P01 - Apfel</v>
      </c>
      <c r="E10" s="1" t="s">
        <v>319</v>
      </c>
    </row>
    <row r="11" spans="1:5" x14ac:dyDescent="0.35">
      <c r="A11" s="1" t="s">
        <v>320</v>
      </c>
      <c r="B11" s="1" t="s">
        <v>321</v>
      </c>
      <c r="C11" s="1" t="s">
        <v>322</v>
      </c>
      <c r="D11" s="20" t="str">
        <f>_xlfn.TEXTJOIN(" | ",TRUE,Grunddaten!C2:C5)</f>
        <v>Apfel | Birne | Kirsche | Apfel</v>
      </c>
      <c r="E11" s="1" t="s">
        <v>323</v>
      </c>
    </row>
    <row r="12" spans="1:5" x14ac:dyDescent="0.35">
      <c r="A12" s="1" t="s">
        <v>324</v>
      </c>
      <c r="B12" s="1" t="s">
        <v>325</v>
      </c>
      <c r="C12" s="1" t="s">
        <v>326</v>
      </c>
      <c r="D12" s="20">
        <f>FIND("fi",Grunddaten!C11)</f>
        <v>2</v>
      </c>
      <c r="E12" s="1" t="s">
        <v>327</v>
      </c>
    </row>
    <row r="13" spans="1:5" x14ac:dyDescent="0.35">
      <c r="A13" s="1" t="s">
        <v>328</v>
      </c>
      <c r="B13" s="1" t="s">
        <v>329</v>
      </c>
      <c r="C13" s="1" t="s">
        <v>330</v>
      </c>
      <c r="D13" s="20">
        <f>SEARCH("AP",Grunddaten!C2)</f>
        <v>1</v>
      </c>
      <c r="E13" s="1" t="s">
        <v>327</v>
      </c>
    </row>
    <row r="14" spans="1:5" x14ac:dyDescent="0.35">
      <c r="A14" s="1" t="s">
        <v>331</v>
      </c>
      <c r="B14" s="1" t="s">
        <v>332</v>
      </c>
      <c r="C14" s="1" t="s">
        <v>333</v>
      </c>
      <c r="D14" s="20" t="str">
        <f>SUBSTITUTE(Grunddaten!M6,"Hallo","Tschüss")</f>
        <v>Er sagte "Tschüss"</v>
      </c>
      <c r="E14" s="1" t="s">
        <v>334</v>
      </c>
    </row>
    <row r="15" spans="1:5" x14ac:dyDescent="0.35">
      <c r="A15" s="1" t="s">
        <v>335</v>
      </c>
      <c r="B15" s="1" t="s">
        <v>336</v>
      </c>
      <c r="C15" s="1" t="s">
        <v>337</v>
      </c>
      <c r="D15" s="20" t="str">
        <f>REPLACE("ABCDE",2,3,"xyz")</f>
        <v>AxyzE</v>
      </c>
      <c r="E15" s="1" t="s">
        <v>327</v>
      </c>
    </row>
    <row r="16" spans="1:5" x14ac:dyDescent="0.35">
      <c r="A16" s="1" t="s">
        <v>338</v>
      </c>
      <c r="B16" s="1" t="s">
        <v>339</v>
      </c>
      <c r="C16" s="1" t="s">
        <v>340</v>
      </c>
      <c r="D16" s="20" t="str">
        <f>TEXT(Grunddaten!E2,"0.00")</f>
        <v>003</v>
      </c>
      <c r="E16" s="1" t="s">
        <v>341</v>
      </c>
    </row>
    <row r="17" spans="1:5" x14ac:dyDescent="0.35">
      <c r="A17" s="1" t="s">
        <v>342</v>
      </c>
      <c r="B17" s="1" t="s">
        <v>343</v>
      </c>
      <c r="C17" s="1" t="s">
        <v>344</v>
      </c>
      <c r="D17" s="20">
        <f>VALUE(Grunddaten!M8)</f>
        <v>123</v>
      </c>
      <c r="E17" s="1" t="s">
        <v>345</v>
      </c>
    </row>
    <row r="18" spans="1:5" x14ac:dyDescent="0.35">
      <c r="A18" s="1" t="s">
        <v>346</v>
      </c>
      <c r="B18" s="1" t="s">
        <v>347</v>
      </c>
      <c r="C18" s="1" t="s">
        <v>348</v>
      </c>
      <c r="D18" s="20" t="str">
        <f>_xlfn.CONCAT("A",CHAR(9),"B")</f>
        <v>A	B</v>
      </c>
      <c r="E18" s="1" t="s">
        <v>349</v>
      </c>
    </row>
    <row r="19" spans="1:5" x14ac:dyDescent="0.35">
      <c r="A19" s="1" t="s">
        <v>350</v>
      </c>
      <c r="B19" s="1" t="s">
        <v>351</v>
      </c>
      <c r="C19" s="1" t="s">
        <v>352</v>
      </c>
      <c r="D19" s="20" t="str">
        <f>CLEAN(Grunddaten!M3)</f>
        <v>LinksRechts</v>
      </c>
      <c r="E19" s="1" t="s">
        <v>353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00642-3E8D-47CF-9D6F-761EAF593883}">
  <dimension ref="A1:E19"/>
  <sheetViews>
    <sheetView workbookViewId="0"/>
  </sheetViews>
  <sheetFormatPr baseColWidth="10" defaultRowHeight="14.5" x14ac:dyDescent="0.35"/>
  <cols>
    <col min="1" max="1" width="13.6328125" customWidth="1"/>
    <col min="2" max="2" width="24.54296875" customWidth="1"/>
    <col min="3" max="3" width="47.26953125" customWidth="1"/>
    <col min="4" max="5" width="34.54296875" customWidth="1"/>
  </cols>
  <sheetData>
    <row r="1" spans="1:5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</row>
    <row r="2" spans="1:5" x14ac:dyDescent="0.35">
      <c r="A2" s="1" t="s">
        <v>354</v>
      </c>
      <c r="B2" s="1" t="s">
        <v>355</v>
      </c>
      <c r="C2" s="1" t="s">
        <v>356</v>
      </c>
      <c r="D2" s="4">
        <f>DATE(2024,2,29)</f>
        <v>45351</v>
      </c>
      <c r="E2" s="1" t="s">
        <v>20</v>
      </c>
    </row>
    <row r="3" spans="1:5" x14ac:dyDescent="0.35">
      <c r="A3" s="1" t="s">
        <v>357</v>
      </c>
      <c r="B3" s="1" t="s">
        <v>358</v>
      </c>
      <c r="C3" s="1" t="s">
        <v>359</v>
      </c>
      <c r="D3" s="1">
        <f>YEAR(Grunddaten!F3)</f>
        <v>2024</v>
      </c>
      <c r="E3" s="1" t="s">
        <v>360</v>
      </c>
    </row>
    <row r="4" spans="1:5" x14ac:dyDescent="0.35">
      <c r="A4" s="1" t="s">
        <v>361</v>
      </c>
      <c r="B4" s="1" t="s">
        <v>362</v>
      </c>
      <c r="C4" s="1" t="s">
        <v>363</v>
      </c>
      <c r="D4" s="1">
        <f>MONTH(Grunddaten!F3)</f>
        <v>2</v>
      </c>
      <c r="E4" s="1" t="s">
        <v>360</v>
      </c>
    </row>
    <row r="5" spans="1:5" x14ac:dyDescent="0.35">
      <c r="A5" s="1" t="s">
        <v>364</v>
      </c>
      <c r="B5" s="1" t="s">
        <v>365</v>
      </c>
      <c r="C5" s="1" t="s">
        <v>366</v>
      </c>
      <c r="D5" s="1">
        <f>DAY(Grunddaten!F3)</f>
        <v>29</v>
      </c>
      <c r="E5" s="1" t="s">
        <v>360</v>
      </c>
    </row>
    <row r="6" spans="1:5" x14ac:dyDescent="0.35">
      <c r="A6" s="1" t="s">
        <v>367</v>
      </c>
      <c r="B6" s="1" t="s">
        <v>368</v>
      </c>
      <c r="C6" s="1" t="s">
        <v>369</v>
      </c>
      <c r="D6" s="4">
        <f>EDATE(Grunddaten!F3,1)</f>
        <v>45380</v>
      </c>
      <c r="E6" s="1" t="s">
        <v>370</v>
      </c>
    </row>
    <row r="7" spans="1:5" x14ac:dyDescent="0.35">
      <c r="A7" s="1" t="s">
        <v>371</v>
      </c>
      <c r="B7" s="1" t="s">
        <v>372</v>
      </c>
      <c r="C7" s="1" t="s">
        <v>373</v>
      </c>
      <c r="D7" s="4">
        <f>EOMONTH(Grunddaten!F3,1)</f>
        <v>45382</v>
      </c>
      <c r="E7" s="1" t="s">
        <v>374</v>
      </c>
    </row>
    <row r="8" spans="1:5" x14ac:dyDescent="0.35">
      <c r="A8" s="1" t="s">
        <v>375</v>
      </c>
      <c r="B8" s="1" t="s">
        <v>376</v>
      </c>
      <c r="C8" s="1" t="s">
        <v>377</v>
      </c>
      <c r="D8" s="1">
        <f>WEEKDAY(Grunddaten!F3,2)</f>
        <v>4</v>
      </c>
      <c r="E8" s="1" t="s">
        <v>378</v>
      </c>
    </row>
    <row r="9" spans="1:5" x14ac:dyDescent="0.35">
      <c r="A9" s="1" t="s">
        <v>379</v>
      </c>
      <c r="B9" s="1" t="s">
        <v>380</v>
      </c>
      <c r="C9" s="1" t="s">
        <v>381</v>
      </c>
      <c r="D9" s="1">
        <f>WEEKNUM(Grunddaten!F3,2)</f>
        <v>9</v>
      </c>
      <c r="E9" s="1" t="s">
        <v>382</v>
      </c>
    </row>
    <row r="10" spans="1:5" x14ac:dyDescent="0.35">
      <c r="A10" s="1" t="s">
        <v>383</v>
      </c>
      <c r="B10" s="1" t="s">
        <v>384</v>
      </c>
      <c r="C10" s="1" t="s">
        <v>385</v>
      </c>
      <c r="D10" s="1">
        <f>_xlfn.ISOWEEKNUM(Grunddaten!F3)</f>
        <v>9</v>
      </c>
      <c r="E10" s="1" t="s">
        <v>386</v>
      </c>
    </row>
    <row r="11" spans="1:5" x14ac:dyDescent="0.35">
      <c r="A11" s="1" t="s">
        <v>387</v>
      </c>
      <c r="B11" s="1" t="s">
        <v>388</v>
      </c>
      <c r="C11" s="1" t="s">
        <v>389</v>
      </c>
      <c r="D11" s="1">
        <f>_xlfn.DAYS(Grunddaten!F4,Grunddaten!F2)</f>
        <v>76</v>
      </c>
      <c r="E11" s="1" t="s">
        <v>390</v>
      </c>
    </row>
    <row r="12" spans="1:5" x14ac:dyDescent="0.35">
      <c r="A12" s="1" t="s">
        <v>391</v>
      </c>
      <c r="B12" s="1" t="s">
        <v>392</v>
      </c>
      <c r="C12" s="1" t="s">
        <v>393</v>
      </c>
      <c r="D12" s="1">
        <f>DATEDIF(Grunddaten!F2,Grunddaten!F8,"m")</f>
        <v>5</v>
      </c>
      <c r="E12" s="1" t="s">
        <v>394</v>
      </c>
    </row>
    <row r="13" spans="1:5" x14ac:dyDescent="0.35">
      <c r="A13" s="1" t="s">
        <v>395</v>
      </c>
      <c r="B13" s="1" t="s">
        <v>396</v>
      </c>
      <c r="C13" s="1" t="s">
        <v>397</v>
      </c>
      <c r="D13" s="1">
        <f>NETWORKDAYS(Grunddaten!F2,Grunddaten!F3)</f>
        <v>34</v>
      </c>
      <c r="E13" s="1" t="s">
        <v>398</v>
      </c>
    </row>
    <row r="14" spans="1:5" x14ac:dyDescent="0.35">
      <c r="A14" s="1" t="s">
        <v>399</v>
      </c>
      <c r="B14" s="1" t="s">
        <v>400</v>
      </c>
      <c r="C14" s="1" t="s">
        <v>401</v>
      </c>
      <c r="D14" s="4">
        <f>WORKDAY(Grunddaten!F2,10)</f>
        <v>45320</v>
      </c>
      <c r="E14" s="1" t="s">
        <v>402</v>
      </c>
    </row>
    <row r="15" spans="1:5" x14ac:dyDescent="0.35">
      <c r="A15" s="1" t="s">
        <v>403</v>
      </c>
      <c r="B15" s="1" t="s">
        <v>404</v>
      </c>
      <c r="C15" s="1" t="s">
        <v>405</v>
      </c>
      <c r="D15" s="14">
        <f>TIME(14,30,45)</f>
        <v>0.60468750000000004</v>
      </c>
      <c r="E15" s="1" t="s">
        <v>406</v>
      </c>
    </row>
    <row r="16" spans="1:5" x14ac:dyDescent="0.35">
      <c r="A16" s="1" t="s">
        <v>407</v>
      </c>
      <c r="B16" s="1" t="s">
        <v>408</v>
      </c>
      <c r="C16" s="1" t="s">
        <v>409</v>
      </c>
      <c r="D16" s="1">
        <f>HOUR(TIME(14,30,45))</f>
        <v>14</v>
      </c>
      <c r="E16" s="1" t="s">
        <v>410</v>
      </c>
    </row>
    <row r="17" spans="1:5" x14ac:dyDescent="0.35">
      <c r="A17" s="1" t="s">
        <v>411</v>
      </c>
      <c r="B17" s="1" t="s">
        <v>412</v>
      </c>
      <c r="C17" s="1" t="s">
        <v>413</v>
      </c>
      <c r="D17" s="1">
        <f>MINUTE(TIME(14,30,45))</f>
        <v>30</v>
      </c>
      <c r="E17" s="1" t="s">
        <v>414</v>
      </c>
    </row>
    <row r="18" spans="1:5" x14ac:dyDescent="0.35">
      <c r="A18" s="1" t="s">
        <v>415</v>
      </c>
      <c r="B18" s="1" t="s">
        <v>416</v>
      </c>
      <c r="C18" s="1" t="s">
        <v>417</v>
      </c>
      <c r="D18" s="1">
        <f>SECOND(TIME(14,30,45))</f>
        <v>45</v>
      </c>
      <c r="E18" s="1" t="s">
        <v>418</v>
      </c>
    </row>
    <row r="19" spans="1:5" x14ac:dyDescent="0.35">
      <c r="A19" s="1" t="s">
        <v>419</v>
      </c>
      <c r="B19" s="1" t="s">
        <v>420</v>
      </c>
      <c r="C19" s="1" t="s">
        <v>421</v>
      </c>
      <c r="D19" s="15">
        <f>YEARFRAC(Grunddaten!F2,Grunddaten!F11,1)</f>
        <v>0.95901639344262291</v>
      </c>
      <c r="E19" s="1" t="s">
        <v>422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5702F-C1CD-424C-8DC5-8FBF4027BE41}">
  <dimension ref="A1:E15"/>
  <sheetViews>
    <sheetView workbookViewId="0"/>
  </sheetViews>
  <sheetFormatPr baseColWidth="10" defaultRowHeight="14.5" x14ac:dyDescent="0.35"/>
  <cols>
    <col min="1" max="1" width="13.6328125" customWidth="1"/>
    <col min="2" max="2" width="24.54296875" customWidth="1"/>
    <col min="3" max="3" width="47.26953125" customWidth="1"/>
    <col min="4" max="5" width="34.54296875" customWidth="1"/>
  </cols>
  <sheetData>
    <row r="1" spans="1:5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</row>
    <row r="2" spans="1:5" x14ac:dyDescent="0.35">
      <c r="A2" s="1" t="s">
        <v>423</v>
      </c>
      <c r="B2" s="1" t="s">
        <v>424</v>
      </c>
      <c r="C2" s="1" t="s">
        <v>425</v>
      </c>
      <c r="D2" s="1" t="str">
        <f>VLOOKUP("S",Grunddaten!H2:J5,2,FALSE)</f>
        <v>Süd</v>
      </c>
      <c r="E2" s="1" t="s">
        <v>426</v>
      </c>
    </row>
    <row r="3" spans="1:5" x14ac:dyDescent="0.35">
      <c r="A3" s="1" t="s">
        <v>427</v>
      </c>
      <c r="B3" s="1" t="s">
        <v>424</v>
      </c>
      <c r="C3" s="1" t="s">
        <v>428</v>
      </c>
      <c r="D3" s="1">
        <f>VLOOKUP("W",Grunddaten!H2:J5,3,FALSE)</f>
        <v>1.2</v>
      </c>
      <c r="E3" s="1" t="s">
        <v>429</v>
      </c>
    </row>
    <row r="4" spans="1:5" x14ac:dyDescent="0.35">
      <c r="A4" s="1" t="s">
        <v>430</v>
      </c>
      <c r="B4" s="1" t="s">
        <v>431</v>
      </c>
      <c r="C4" s="1" t="s">
        <v>432</v>
      </c>
      <c r="D4" s="1" t="str">
        <f>INDEX(Grunddaten!B2:B13,MATCH("P07",Grunddaten!A2:A13,0))</f>
        <v>Nord</v>
      </c>
      <c r="E4" s="1" t="s">
        <v>433</v>
      </c>
    </row>
    <row r="5" spans="1:5" x14ac:dyDescent="0.35">
      <c r="A5" s="1" t="s">
        <v>434</v>
      </c>
      <c r="B5" s="1" t="s">
        <v>435</v>
      </c>
      <c r="C5" s="1" t="s">
        <v>436</v>
      </c>
      <c r="D5" s="1">
        <f>MATCH("P07",Grunddaten!A2:A13,0)</f>
        <v>7</v>
      </c>
      <c r="E5" s="1" t="s">
        <v>437</v>
      </c>
    </row>
    <row r="6" spans="1:5" x14ac:dyDescent="0.35">
      <c r="A6" s="1" t="s">
        <v>438</v>
      </c>
      <c r="B6" s="1" t="s">
        <v>439</v>
      </c>
      <c r="C6" s="1" t="s">
        <v>440</v>
      </c>
      <c r="D6" s="1">
        <f>_xlfn.XMATCH("P07",Grunddaten!A2:A13,0)</f>
        <v>7</v>
      </c>
      <c r="E6" s="1" t="s">
        <v>441</v>
      </c>
    </row>
    <row r="7" spans="1:5" x14ac:dyDescent="0.35">
      <c r="A7" s="1" t="s">
        <v>442</v>
      </c>
      <c r="B7" s="1" t="s">
        <v>443</v>
      </c>
      <c r="C7" s="1" t="s">
        <v>444</v>
      </c>
      <c r="D7" s="1">
        <f>_xlfn.XLOOKUP("P07",Grunddaten!A2:A13,Grunddaten!E2:E13,"fehlt")</f>
        <v>1.99</v>
      </c>
      <c r="E7" s="1" t="s">
        <v>426</v>
      </c>
    </row>
    <row r="8" spans="1:5" x14ac:dyDescent="0.35">
      <c r="A8" s="1" t="s">
        <v>445</v>
      </c>
      <c r="B8" s="1" t="s">
        <v>443</v>
      </c>
      <c r="C8" s="1" t="s">
        <v>446</v>
      </c>
      <c r="D8" s="1" t="str">
        <f>_xlfn.XLOOKUP("P99",Grunddaten!A2:A13,Grunddaten!C2:C13,"fehlt")</f>
        <v>fehlt</v>
      </c>
      <c r="E8" s="1" t="s">
        <v>447</v>
      </c>
    </row>
    <row r="9" spans="1:5" x14ac:dyDescent="0.35">
      <c r="A9" s="1" t="s">
        <v>448</v>
      </c>
      <c r="B9" s="1" t="s">
        <v>449</v>
      </c>
      <c r="C9" s="1" t="s">
        <v>450</v>
      </c>
      <c r="D9" s="1" t="str">
        <f>INDEX(Grunddaten!C2:C13,3)</f>
        <v>Kirsche</v>
      </c>
      <c r="E9" s="1" t="s">
        <v>327</v>
      </c>
    </row>
    <row r="10" spans="1:5" x14ac:dyDescent="0.35">
      <c r="A10" s="1" t="s">
        <v>451</v>
      </c>
      <c r="B10" s="1" t="s">
        <v>452</v>
      </c>
      <c r="C10" s="1" t="s">
        <v>453</v>
      </c>
      <c r="D10" s="1" t="str">
        <f>CHOOSE(2,"Rot","Blau","Grün")</f>
        <v>Blau</v>
      </c>
      <c r="E10" s="1" t="s">
        <v>454</v>
      </c>
    </row>
    <row r="11" spans="1:5" x14ac:dyDescent="0.35">
      <c r="A11" s="1" t="s">
        <v>455</v>
      </c>
      <c r="B11" s="1" t="s">
        <v>456</v>
      </c>
      <c r="C11" s="1" t="s">
        <v>457</v>
      </c>
      <c r="D11" s="1">
        <f>ROW(Grunddaten!A7)</f>
        <v>7</v>
      </c>
      <c r="E11" s="1" t="s">
        <v>458</v>
      </c>
    </row>
    <row r="12" spans="1:5" x14ac:dyDescent="0.35">
      <c r="A12" s="1" t="s">
        <v>459</v>
      </c>
      <c r="B12" s="1" t="s">
        <v>460</v>
      </c>
      <c r="C12" s="1" t="s">
        <v>461</v>
      </c>
      <c r="D12" s="1">
        <f>COLUMN(Grunddaten!E2)</f>
        <v>5</v>
      </c>
      <c r="E12" s="1" t="s">
        <v>458</v>
      </c>
    </row>
    <row r="13" spans="1:5" x14ac:dyDescent="0.35">
      <c r="A13" s="1" t="s">
        <v>462</v>
      </c>
      <c r="B13" s="1" t="s">
        <v>463</v>
      </c>
      <c r="C13" s="1" t="s">
        <v>464</v>
      </c>
      <c r="D13" s="1" t="str">
        <f>ADDRESS(2,5)</f>
        <v>$E$2</v>
      </c>
      <c r="E13" s="1" t="s">
        <v>465</v>
      </c>
    </row>
    <row r="14" spans="1:5" x14ac:dyDescent="0.35">
      <c r="A14" s="1" t="s">
        <v>466</v>
      </c>
      <c r="B14" s="1" t="s">
        <v>467</v>
      </c>
      <c r="C14" s="1" t="s">
        <v>468</v>
      </c>
      <c r="D14" s="1" t="str" cm="1">
        <f t="array" aca="1" ref="D14" ca="1">INDIRECT("'Grunddaten'!C2")</f>
        <v>Apfel</v>
      </c>
      <c r="E14" s="1" t="s">
        <v>469</v>
      </c>
    </row>
    <row r="15" spans="1:5" x14ac:dyDescent="0.35">
      <c r="A15" s="1" t="s">
        <v>470</v>
      </c>
      <c r="B15" s="1" t="s">
        <v>471</v>
      </c>
      <c r="C15" s="1" t="s">
        <v>472</v>
      </c>
      <c r="D15" s="1" t="str">
        <f ca="1">OFFSET(Grunddaten!A2,2,2)</f>
        <v>Kirsche</v>
      </c>
      <c r="E15" s="1" t="s">
        <v>473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AE5F-7DC4-43EC-96F7-81EAD10E35E2}">
  <dimension ref="A1:G16"/>
  <sheetViews>
    <sheetView workbookViewId="0"/>
  </sheetViews>
  <sheetFormatPr baseColWidth="10" defaultRowHeight="14.5" x14ac:dyDescent="0.35"/>
  <cols>
    <col min="1" max="1" width="13.6328125" customWidth="1"/>
    <col min="2" max="2" width="24.54296875" customWidth="1"/>
    <col min="3" max="3" width="47.26953125" customWidth="1"/>
    <col min="4" max="5" width="34.54296875" customWidth="1"/>
    <col min="7" max="7" width="16.36328125" customWidth="1"/>
  </cols>
  <sheetData>
    <row r="1" spans="1:7" ht="28" customHeight="1" x14ac:dyDescent="0.35">
      <c r="A1" s="3" t="s">
        <v>94</v>
      </c>
      <c r="B1" s="3" t="s">
        <v>95</v>
      </c>
      <c r="C1" s="3" t="s">
        <v>96</v>
      </c>
      <c r="D1" s="3" t="s">
        <v>97</v>
      </c>
      <c r="E1" s="3" t="s">
        <v>98</v>
      </c>
      <c r="G1" s="16" t="s">
        <v>41</v>
      </c>
    </row>
    <row r="2" spans="1:7" x14ac:dyDescent="0.35">
      <c r="A2" s="1" t="s">
        <v>474</v>
      </c>
      <c r="B2" s="1" t="s">
        <v>475</v>
      </c>
      <c r="C2" s="1" t="s">
        <v>476</v>
      </c>
      <c r="D2" s="1">
        <f>SUMIF(Grunddaten!B2:B13,"Nord",Grunddaten!D2:D13)</f>
        <v>52</v>
      </c>
      <c r="E2" s="1" t="s">
        <v>477</v>
      </c>
      <c r="G2" t="s">
        <v>46</v>
      </c>
    </row>
    <row r="3" spans="1:7" x14ac:dyDescent="0.35">
      <c r="A3" s="1" t="s">
        <v>478</v>
      </c>
      <c r="B3" s="1" t="s">
        <v>479</v>
      </c>
      <c r="C3" s="1" t="s">
        <v>480</v>
      </c>
      <c r="D3" s="1">
        <f>SUMIFS(Grunddaten!D2:D13,Grunddaten!B2:B13,"Nord",Grunddaten!C2:C13,"Apfel")</f>
        <v>10</v>
      </c>
      <c r="E3" s="1" t="s">
        <v>481</v>
      </c>
    </row>
    <row r="4" spans="1:7" x14ac:dyDescent="0.35">
      <c r="A4" s="1" t="s">
        <v>482</v>
      </c>
      <c r="B4" s="1" t="s">
        <v>479</v>
      </c>
      <c r="C4" s="1" t="s">
        <v>483</v>
      </c>
      <c r="D4" s="1">
        <f>SUMIFS(Grunddaten!D2:D13,Grunddaten!F2:F13,"&gt;="&amp;DATE(2025,1,1))</f>
        <v>4</v>
      </c>
      <c r="E4" s="1" t="s">
        <v>484</v>
      </c>
    </row>
    <row r="5" spans="1:7" x14ac:dyDescent="0.35">
      <c r="A5" s="1" t="s">
        <v>485</v>
      </c>
      <c r="B5" s="1" t="s">
        <v>486</v>
      </c>
      <c r="C5" s="1" t="s">
        <v>487</v>
      </c>
      <c r="D5" s="1">
        <f>COUNTIF(Grunddaten!C2:C13,"Apfel")</f>
        <v>4</v>
      </c>
      <c r="E5" s="1" t="s">
        <v>488</v>
      </c>
    </row>
    <row r="6" spans="1:7" x14ac:dyDescent="0.35">
      <c r="A6" s="1" t="s">
        <v>489</v>
      </c>
      <c r="B6" s="1" t="s">
        <v>486</v>
      </c>
      <c r="C6" s="1" t="s">
        <v>490</v>
      </c>
      <c r="D6" s="1">
        <f>COUNTIF(Grunddaten!C2:C13,"A*")</f>
        <v>4</v>
      </c>
      <c r="E6" s="1" t="s">
        <v>491</v>
      </c>
    </row>
    <row r="7" spans="1:7" x14ac:dyDescent="0.35">
      <c r="A7" s="1" t="s">
        <v>492</v>
      </c>
      <c r="B7" s="1" t="s">
        <v>493</v>
      </c>
      <c r="C7" s="1" t="s">
        <v>494</v>
      </c>
      <c r="D7" s="1">
        <f>COUNTIFS(Grunddaten!B2:B13,"Süd",Grunddaten!D2:D13,"&gt;0")</f>
        <v>2</v>
      </c>
      <c r="E7" s="1" t="s">
        <v>495</v>
      </c>
    </row>
    <row r="8" spans="1:7" x14ac:dyDescent="0.35">
      <c r="A8" s="1" t="s">
        <v>496</v>
      </c>
      <c r="B8" s="1" t="s">
        <v>186</v>
      </c>
      <c r="C8" s="1" t="s">
        <v>497</v>
      </c>
      <c r="D8" s="1">
        <f>AVERAGEIF(Grunddaten!B2:B13,"Nord",Grunddaten!D2:D13)</f>
        <v>13</v>
      </c>
      <c r="E8" s="1" t="s">
        <v>498</v>
      </c>
    </row>
    <row r="9" spans="1:7" x14ac:dyDescent="0.35">
      <c r="A9" s="1" t="s">
        <v>499</v>
      </c>
      <c r="B9" s="1" t="s">
        <v>500</v>
      </c>
      <c r="C9" s="1" t="s">
        <v>501</v>
      </c>
      <c r="D9" s="1">
        <f>AVERAGEIFS(Grunddaten!E2:E13,Grunddaten!B2:B13,"Süd",Grunddaten!C2:C13,"Apfel")</f>
        <v>2.5</v>
      </c>
      <c r="E9" s="1" t="s">
        <v>495</v>
      </c>
    </row>
    <row r="10" spans="1:7" x14ac:dyDescent="0.35">
      <c r="A10" s="1" t="s">
        <v>502</v>
      </c>
      <c r="B10" s="1" t="s">
        <v>503</v>
      </c>
      <c r="C10" s="1" t="s">
        <v>504</v>
      </c>
      <c r="D10" s="1">
        <f>_xlfn.MAXIFS(Grunddaten!D2:D13,Grunddaten!B2:B13,"Nord")</f>
        <v>20</v>
      </c>
      <c r="E10" s="1" t="s">
        <v>505</v>
      </c>
    </row>
    <row r="11" spans="1:7" x14ac:dyDescent="0.35">
      <c r="A11" s="1" t="s">
        <v>506</v>
      </c>
      <c r="B11" s="1" t="s">
        <v>507</v>
      </c>
      <c r="C11" s="1" t="s">
        <v>508</v>
      </c>
      <c r="D11" s="1">
        <f>_xlfn.MINIFS(Grunddaten!E2:E13,Grunddaten!C2:C13,"Apfel")</f>
        <v>2.5</v>
      </c>
      <c r="E11" s="1" t="s">
        <v>505</v>
      </c>
    </row>
    <row r="12" spans="1:7" x14ac:dyDescent="0.35">
      <c r="A12" s="1" t="s">
        <v>509</v>
      </c>
      <c r="B12" s="1" t="s">
        <v>510</v>
      </c>
      <c r="C12" s="1" t="s">
        <v>511</v>
      </c>
      <c r="D12" s="1">
        <f>SUBTOTAL(9,Grunddaten!D2:D13)</f>
        <v>79</v>
      </c>
      <c r="E12" s="1" t="s">
        <v>512</v>
      </c>
    </row>
    <row r="13" spans="1:7" x14ac:dyDescent="0.35">
      <c r="A13" s="1" t="s">
        <v>513</v>
      </c>
      <c r="B13" s="1" t="s">
        <v>514</v>
      </c>
      <c r="C13" s="1" t="s">
        <v>515</v>
      </c>
      <c r="D13" s="1">
        <f>_xlfn.AGGREGATE(4,6,Grunddaten!D2:D13)</f>
        <v>20</v>
      </c>
      <c r="E13" s="1" t="s">
        <v>516</v>
      </c>
    </row>
    <row r="14" spans="1:7" x14ac:dyDescent="0.35">
      <c r="A14" s="1" t="s">
        <v>517</v>
      </c>
      <c r="B14" s="1" t="s">
        <v>518</v>
      </c>
      <c r="C14" s="1" t="s">
        <v>519</v>
      </c>
      <c r="D14" s="1">
        <f>DSUM(Grunddaten!A1:F13,"Menge",G1:G2)</f>
        <v>52</v>
      </c>
      <c r="E14" s="1" t="s">
        <v>520</v>
      </c>
    </row>
    <row r="15" spans="1:7" x14ac:dyDescent="0.35">
      <c r="A15" s="1" t="s">
        <v>521</v>
      </c>
      <c r="B15" s="1" t="s">
        <v>475</v>
      </c>
      <c r="C15" s="1" t="s">
        <v>522</v>
      </c>
      <c r="D15" s="1">
        <f>SUMIF(Grunddaten!B2:B13,"&lt;&gt;Nord",Grunddaten!D2:D13)</f>
        <v>27</v>
      </c>
      <c r="E15" s="1" t="s">
        <v>523</v>
      </c>
    </row>
    <row r="16" spans="1:7" x14ac:dyDescent="0.35">
      <c r="A16" s="1" t="s">
        <v>524</v>
      </c>
      <c r="B16" s="1" t="s">
        <v>493</v>
      </c>
      <c r="C16" s="1" t="s">
        <v>525</v>
      </c>
      <c r="D16" s="1">
        <f>COUNTIFS(Grunddaten!F2:F13,"&gt;="&amp;DATE(2024,1,1),Grunddaten!F2:F13,"&lt;"&amp;DATE(2025,1,1),Grunddaten!D2:D13,"&gt;0")</f>
        <v>7</v>
      </c>
      <c r="E16" s="1" t="s">
        <v>526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985ED-8C85-4643-AA33-5579F18DF2E1}">
  <dimension ref="A1:E24"/>
  <sheetViews>
    <sheetView tabSelected="1" workbookViewId="0"/>
  </sheetViews>
  <sheetFormatPr baseColWidth="10" defaultRowHeight="14.5" x14ac:dyDescent="0.35"/>
  <cols>
    <col min="1" max="1" width="11.81640625" customWidth="1"/>
    <col min="2" max="2" width="39.08984375" customWidth="1"/>
    <col min="3" max="3" width="37.26953125" customWidth="1"/>
    <col min="4" max="4" width="54.54296875" customWidth="1"/>
    <col min="5" max="5" width="24.54296875" customWidth="1"/>
  </cols>
  <sheetData>
    <row r="1" spans="1:5" ht="28" customHeight="1" x14ac:dyDescent="0.35">
      <c r="A1" s="3" t="s">
        <v>40</v>
      </c>
      <c r="B1" s="3" t="s">
        <v>527</v>
      </c>
      <c r="C1" s="3" t="s">
        <v>528</v>
      </c>
      <c r="D1" s="3" t="s">
        <v>4</v>
      </c>
      <c r="E1" s="3" t="s">
        <v>529</v>
      </c>
    </row>
    <row r="2" spans="1:5" ht="34" customHeight="1" x14ac:dyDescent="0.35">
      <c r="A2" s="1" t="s">
        <v>530</v>
      </c>
      <c r="B2" s="11" t="s">
        <v>79</v>
      </c>
      <c r="C2" s="6"/>
      <c r="D2" s="1" t="s">
        <v>531</v>
      </c>
      <c r="E2" s="1" t="s">
        <v>17</v>
      </c>
    </row>
    <row r="3" spans="1:5" ht="48" customHeight="1" x14ac:dyDescent="0.35">
      <c r="A3" s="1" t="s">
        <v>532</v>
      </c>
      <c r="B3" s="11" t="s">
        <v>533</v>
      </c>
      <c r="C3" s="6"/>
      <c r="D3" s="1" t="s">
        <v>534</v>
      </c>
      <c r="E3" s="1" t="s">
        <v>17</v>
      </c>
    </row>
    <row r="4" spans="1:5" ht="48" customHeight="1" x14ac:dyDescent="0.35">
      <c r="A4" s="1" t="s">
        <v>535</v>
      </c>
      <c r="B4" s="11" t="s">
        <v>536</v>
      </c>
      <c r="C4" s="6"/>
      <c r="D4" s="1" t="s">
        <v>537</v>
      </c>
      <c r="E4" s="1" t="s">
        <v>17</v>
      </c>
    </row>
    <row r="5" spans="1:5" ht="34" customHeight="1" x14ac:dyDescent="0.35">
      <c r="A5" s="1" t="s">
        <v>538</v>
      </c>
      <c r="B5" s="11" t="s">
        <v>85</v>
      </c>
      <c r="C5" s="6"/>
      <c r="D5" s="1" t="s">
        <v>539</v>
      </c>
      <c r="E5" s="1" t="s">
        <v>17</v>
      </c>
    </row>
    <row r="6" spans="1:5" ht="48" customHeight="1" x14ac:dyDescent="0.35">
      <c r="A6" s="1" t="s">
        <v>540</v>
      </c>
      <c r="B6" s="11" t="s">
        <v>541</v>
      </c>
      <c r="C6" s="6"/>
      <c r="D6" s="1" t="s">
        <v>542</v>
      </c>
      <c r="E6" s="1" t="s">
        <v>17</v>
      </c>
    </row>
    <row r="7" spans="1:5" ht="34" customHeight="1" x14ac:dyDescent="0.35">
      <c r="A7" s="1" t="s">
        <v>543</v>
      </c>
      <c r="B7" s="11" t="s">
        <v>544</v>
      </c>
      <c r="C7" s="6"/>
      <c r="D7" s="1" t="s">
        <v>545</v>
      </c>
      <c r="E7" s="1" t="s">
        <v>17</v>
      </c>
    </row>
    <row r="8" spans="1:5" ht="34" customHeight="1" x14ac:dyDescent="0.35">
      <c r="A8" s="1" t="s">
        <v>546</v>
      </c>
      <c r="B8" s="11" t="s">
        <v>547</v>
      </c>
      <c r="C8" s="6"/>
      <c r="D8" s="1" t="s">
        <v>548</v>
      </c>
      <c r="E8" s="1" t="s">
        <v>17</v>
      </c>
    </row>
    <row r="9" spans="1:5" ht="34" customHeight="1" x14ac:dyDescent="0.35">
      <c r="A9" s="1" t="s">
        <v>549</v>
      </c>
      <c r="B9" s="11"/>
      <c r="C9" s="6"/>
      <c r="D9" s="1" t="s">
        <v>550</v>
      </c>
      <c r="E9" s="1" t="s">
        <v>551</v>
      </c>
    </row>
    <row r="10" spans="1:5" ht="34" customHeight="1" x14ac:dyDescent="0.35">
      <c r="A10" s="1" t="s">
        <v>552</v>
      </c>
      <c r="B10" s="11"/>
      <c r="C10" s="6" t="str">
        <f>IF(TRUE,"", "x")</f>
        <v/>
      </c>
      <c r="D10" s="1" t="s">
        <v>553</v>
      </c>
      <c r="E10" s="1" t="s">
        <v>554</v>
      </c>
    </row>
    <row r="11" spans="1:5" ht="34" customHeight="1" x14ac:dyDescent="0.35">
      <c r="A11" s="1" t="s">
        <v>555</v>
      </c>
      <c r="B11" s="11">
        <v>0</v>
      </c>
      <c r="C11" s="6"/>
      <c r="D11" s="1" t="s">
        <v>556</v>
      </c>
      <c r="E11" s="1" t="s">
        <v>557</v>
      </c>
    </row>
    <row r="12" spans="1:5" ht="34" customHeight="1" x14ac:dyDescent="0.35">
      <c r="A12" s="1" t="s">
        <v>558</v>
      </c>
      <c r="B12" s="11" t="b">
        <v>0</v>
      </c>
      <c r="C12" s="6"/>
      <c r="D12" s="1" t="s">
        <v>559</v>
      </c>
      <c r="E12" s="1" t="s">
        <v>560</v>
      </c>
    </row>
    <row r="13" spans="1:5" ht="34" customHeight="1" x14ac:dyDescent="0.35">
      <c r="A13" s="1" t="s">
        <v>561</v>
      </c>
      <c r="B13" s="11"/>
      <c r="C13" s="6" t="e">
        <f>1/0</f>
        <v>#DIV/0!</v>
      </c>
      <c r="D13" s="1" t="s">
        <v>562</v>
      </c>
      <c r="E13" s="1" t="s">
        <v>563</v>
      </c>
    </row>
    <row r="14" spans="1:5" ht="34" customHeight="1" x14ac:dyDescent="0.35">
      <c r="A14" s="1" t="s">
        <v>564</v>
      </c>
      <c r="B14" s="11"/>
      <c r="C14" s="6" t="e">
        <f>NA()</f>
        <v>#N/A</v>
      </c>
      <c r="D14" s="1" t="s">
        <v>565</v>
      </c>
      <c r="E14" s="1" t="s">
        <v>563</v>
      </c>
    </row>
    <row r="15" spans="1:5" ht="34" customHeight="1" x14ac:dyDescent="0.35">
      <c r="A15" s="1" t="s">
        <v>566</v>
      </c>
      <c r="B15" s="11"/>
      <c r="C15" s="6" t="e">
        <f>SQRT(-1)</f>
        <v>#NUM!</v>
      </c>
      <c r="D15" s="1" t="s">
        <v>567</v>
      </c>
      <c r="E15" s="1" t="s">
        <v>563</v>
      </c>
    </row>
    <row r="16" spans="1:5" ht="34" customHeight="1" x14ac:dyDescent="0.35">
      <c r="A16" s="1" t="s">
        <v>568</v>
      </c>
      <c r="B16" s="11"/>
      <c r="C16" s="6" t="e">
        <f>VALUE("kein Zahlenwert")</f>
        <v>#VALUE!</v>
      </c>
      <c r="D16" s="1" t="s">
        <v>569</v>
      </c>
      <c r="E16" s="1" t="s">
        <v>563</v>
      </c>
    </row>
    <row r="17" spans="1:5" ht="48" customHeight="1" x14ac:dyDescent="0.35">
      <c r="A17" s="1" t="s">
        <v>570</v>
      </c>
      <c r="B17" s="11"/>
      <c r="C17" s="6" t="str">
        <f>_xlfn.CONCAT("oben",CHAR(10),"unten")</f>
        <v>oben
unten</v>
      </c>
      <c r="D17" s="1" t="s">
        <v>571</v>
      </c>
      <c r="E17" s="1" t="s">
        <v>554</v>
      </c>
    </row>
    <row r="18" spans="1:5" ht="34" customHeight="1" x14ac:dyDescent="0.35">
      <c r="A18" s="1" t="s">
        <v>572</v>
      </c>
      <c r="B18" s="11"/>
      <c r="C18" s="6" t="str">
        <f>_xlfn.CONCAT("Er sagte ",CHAR(34),"Hallo",CHAR(34))</f>
        <v>Er sagte "Hallo"</v>
      </c>
      <c r="D18" s="1" t="s">
        <v>573</v>
      </c>
      <c r="E18" s="1" t="s">
        <v>554</v>
      </c>
    </row>
    <row r="19" spans="1:5" ht="34" customHeight="1" x14ac:dyDescent="0.35">
      <c r="A19" s="1" t="s">
        <v>574</v>
      </c>
      <c r="B19" s="11" t="s">
        <v>575</v>
      </c>
      <c r="C19" s="6"/>
      <c r="D19" s="1" t="s">
        <v>576</v>
      </c>
      <c r="E19" s="1" t="s">
        <v>17</v>
      </c>
    </row>
    <row r="20" spans="1:5" ht="34" customHeight="1" x14ac:dyDescent="0.35">
      <c r="A20" s="1" t="s">
        <v>577</v>
      </c>
      <c r="B20" s="17">
        <v>0.125</v>
      </c>
      <c r="C20" s="6"/>
      <c r="D20" s="1" t="s">
        <v>578</v>
      </c>
      <c r="E20" s="1" t="s">
        <v>579</v>
      </c>
    </row>
    <row r="21" spans="1:5" ht="34" customHeight="1" x14ac:dyDescent="0.35">
      <c r="A21" s="1" t="s">
        <v>580</v>
      </c>
      <c r="B21" s="11"/>
      <c r="C21" s="18">
        <f>DATE(2024,2,29)</f>
        <v>45351</v>
      </c>
      <c r="D21" s="1" t="s">
        <v>581</v>
      </c>
      <c r="E21" s="1" t="s">
        <v>582</v>
      </c>
    </row>
    <row r="22" spans="1:5" ht="34" customHeight="1" x14ac:dyDescent="0.35">
      <c r="A22" s="1" t="s">
        <v>583</v>
      </c>
      <c r="B22" s="22" t="s">
        <v>599</v>
      </c>
      <c r="C22" s="6" t="b">
        <f>_xlfn.ISFORMULA(B22)</f>
        <v>0</v>
      </c>
      <c r="D22" s="1" t="s">
        <v>584</v>
      </c>
      <c r="E22" s="1" t="s">
        <v>585</v>
      </c>
    </row>
    <row r="23" spans="1:5" ht="34" customHeight="1" x14ac:dyDescent="0.35">
      <c r="A23" s="1" t="s">
        <v>586</v>
      </c>
      <c r="B23" s="23">
        <v>0.31415926535897898</v>
      </c>
      <c r="C23" s="6"/>
      <c r="D23" s="1" t="s">
        <v>587</v>
      </c>
      <c r="E23" s="1" t="s">
        <v>557</v>
      </c>
    </row>
    <row r="24" spans="1:5" ht="34" customHeight="1" x14ac:dyDescent="0.35">
      <c r="A24" s="1" t="s">
        <v>588</v>
      </c>
      <c r="B24" s="19">
        <v>1200000000000</v>
      </c>
      <c r="C24" s="6"/>
      <c r="D24" s="1" t="s">
        <v>589</v>
      </c>
      <c r="E24" s="1" t="s">
        <v>557</v>
      </c>
    </row>
  </sheetData>
  <pageMargins left="0.7" right="0.7" top="0.78740157499999996" bottom="0.78740157499999996" header="0.3" footer="0.3"/>
  <headerFooter>
    <oddHeader>&amp;L&amp;"Aptos"&amp;10&amp;K000000 Vertraulich&amp;1#_x000D_</oddHeader>
  </headerFooter>
</worksheet>
</file>

<file path=docMetadata/LabelInfo.xml><?xml version="1.0" encoding="utf-8"?>
<clbl:labelList xmlns:clbl="http://schemas.microsoft.com/office/2020/mipLabelMetadata">
  <clbl:label id="{82029872-f420-4ada-985f-fd05d5b3b7e3}" enabled="1" method="Standard" siteId="{d0ad5c73-02ef-443c-b087-e21b8953e0ac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Start</vt:lpstr>
      <vt:lpstr>Grunddaten</vt:lpstr>
      <vt:lpstr>Mathematik</vt:lpstr>
      <vt:lpstr>Statistik</vt:lpstr>
      <vt:lpstr>Logik</vt:lpstr>
      <vt:lpstr>Text</vt:lpstr>
      <vt:lpstr>Datum</vt:lpstr>
      <vt:lpstr>Nachschlagen</vt:lpstr>
      <vt:lpstr>Aggregation</vt:lpstr>
      <vt:lpstr>Export-Kanten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2026-10-09T09:58:54Z</dcterms:created>
  <dcterms:modified xsi:type="dcterms:W3CDTF">2026-10-09T10:20:21Z</dcterms:modified>
</cp:coreProperties>
</file>